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БЮДЖЕТ 2025-2027гг\ОУ\БЮДЖЕТ\Школы 13гр\"/>
    </mc:Choice>
  </mc:AlternateContent>
  <bookViews>
    <workbookView xWindow="120" yWindow="555" windowWidth="18975" windowHeight="10965" tabRatio="891" activeTab="8"/>
  </bookViews>
  <sheets>
    <sheet name="ст.211, 213-школы " sheetId="95" r:id="rId1"/>
    <sheet name="221,212,222 (2)" sheetId="89" r:id="rId2"/>
    <sheet name="225 (2)" sheetId="100" r:id="rId3"/>
    <sheet name="226" sheetId="96" r:id="rId4"/>
    <sheet name="227 утв" sheetId="94" r:id="rId5"/>
    <sheet name="290" sheetId="64" r:id="rId6"/>
    <sheet name="312" sheetId="28" r:id="rId7"/>
    <sheet name="340 " sheetId="75" r:id="rId8"/>
    <sheet name="343,2" sheetId="98" r:id="rId9"/>
  </sheets>
  <definedNames>
    <definedName name="_xlnm.Print_Area" localSheetId="1">'221,212,222 (2)'!$A$1:$S$10</definedName>
    <definedName name="_xlnm.Print_Area" localSheetId="3">'226'!$A$2:$AK$8</definedName>
  </definedNames>
  <calcPr calcId="152511" refMode="R1C1"/>
</workbook>
</file>

<file path=xl/calcChain.xml><?xml version="1.0" encoding="utf-8"?>
<calcChain xmlns="http://schemas.openxmlformats.org/spreadsheetml/2006/main">
  <c r="D10" i="28" l="1"/>
  <c r="C10" i="28" s="1"/>
  <c r="G10" i="28"/>
  <c r="F10" i="28" l="1"/>
  <c r="AE10" i="100"/>
  <c r="AB10" i="100"/>
  <c r="W10" i="100"/>
  <c r="V10" i="100"/>
  <c r="U10" i="100"/>
  <c r="R10" i="100"/>
  <c r="P10" i="100"/>
  <c r="O10" i="100"/>
  <c r="M10" i="100"/>
  <c r="L10" i="100"/>
  <c r="K10" i="100"/>
  <c r="J10" i="100"/>
  <c r="F10" i="100"/>
  <c r="E10" i="100"/>
  <c r="D10" i="100"/>
  <c r="C10" i="100"/>
  <c r="G10" i="100" s="1"/>
  <c r="T9" i="100"/>
  <c r="N9" i="100"/>
  <c r="G9" i="100"/>
  <c r="T8" i="100"/>
  <c r="N8" i="100"/>
  <c r="G8" i="100"/>
  <c r="N7" i="100"/>
  <c r="G7" i="100"/>
  <c r="AD6" i="100"/>
  <c r="T6" i="100"/>
  <c r="N6" i="100"/>
  <c r="G6" i="100"/>
  <c r="AD5" i="100"/>
  <c r="AD10" i="100" s="1"/>
  <c r="AC5" i="100"/>
  <c r="AC10" i="100" s="1"/>
  <c r="AA5" i="100"/>
  <c r="AA10" i="100" s="1"/>
  <c r="Z5" i="100"/>
  <c r="Z10" i="100" s="1"/>
  <c r="Y5" i="100"/>
  <c r="Y10" i="100" s="1"/>
  <c r="S5" i="100"/>
  <c r="S10" i="100" s="1"/>
  <c r="Q5" i="100"/>
  <c r="N5" i="100"/>
  <c r="G5" i="100"/>
  <c r="N10" i="100" l="1"/>
  <c r="AF10" i="100"/>
  <c r="AG10" i="100" s="1"/>
  <c r="Q10" i="100"/>
  <c r="T5" i="100"/>
  <c r="T10" i="100" s="1"/>
  <c r="H10" i="100" l="1"/>
  <c r="I10" i="100" s="1"/>
  <c r="R9" i="75" l="1"/>
  <c r="Z9" i="75"/>
  <c r="AA9" i="75" s="1"/>
  <c r="S5" i="75"/>
  <c r="S9" i="75" s="1"/>
  <c r="V5" i="96" l="1"/>
  <c r="P8" i="96"/>
  <c r="W5" i="96"/>
  <c r="AJ8" i="96" l="1"/>
  <c r="AE8" i="96"/>
  <c r="V8" i="96" l="1"/>
  <c r="N7" i="96" l="1"/>
  <c r="N6" i="96"/>
  <c r="N5" i="96"/>
  <c r="L8" i="96"/>
  <c r="AI8" i="96"/>
  <c r="F6" i="96"/>
  <c r="F7" i="96"/>
  <c r="J5" i="96"/>
  <c r="G5" i="96"/>
  <c r="I5" i="96"/>
  <c r="N8" i="96" l="1"/>
  <c r="F5" i="96"/>
  <c r="L7" i="75"/>
  <c r="N7" i="75" l="1"/>
  <c r="N5" i="75"/>
  <c r="F9" i="75"/>
  <c r="C9" i="75" l="1"/>
  <c r="I8" i="75"/>
  <c r="I7" i="75"/>
  <c r="I6" i="75"/>
  <c r="I5" i="75"/>
  <c r="AF5" i="96" l="1"/>
  <c r="L6" i="98" l="1"/>
  <c r="AF6" i="98" s="1"/>
  <c r="K6" i="98"/>
  <c r="L5" i="98"/>
  <c r="X5" i="98" s="1"/>
  <c r="K5" i="98"/>
  <c r="AA5" i="98" s="1"/>
  <c r="G5" i="98"/>
  <c r="AH3" i="98"/>
  <c r="O5" i="98" l="1"/>
  <c r="AE5" i="98"/>
  <c r="W6" i="98"/>
  <c r="X6" i="98"/>
  <c r="Y5" i="98"/>
  <c r="AG6" i="98"/>
  <c r="AD5" i="98"/>
  <c r="P6" i="98"/>
  <c r="Z6" i="98"/>
  <c r="O6" i="98"/>
  <c r="Q6" i="98" s="1"/>
  <c r="R6" i="98" s="1"/>
  <c r="AE6" i="98"/>
  <c r="AA6" i="98"/>
  <c r="AG5" i="98"/>
  <c r="W5" i="98"/>
  <c r="AF5" i="98"/>
  <c r="V5" i="98"/>
  <c r="P5" i="98"/>
  <c r="AD6" i="98"/>
  <c r="Z5" i="98"/>
  <c r="Y6" i="98"/>
  <c r="V6" i="98"/>
  <c r="Q5" i="98" l="1"/>
  <c r="R5" i="98" s="1"/>
  <c r="S5" i="98" s="1"/>
  <c r="AJ5" i="98"/>
  <c r="R5" i="95" l="1"/>
  <c r="U8" i="96" l="1"/>
  <c r="T7" i="96"/>
  <c r="X7" i="96" s="1"/>
  <c r="Q8" i="96"/>
  <c r="R8" i="96"/>
  <c r="S8" i="96"/>
  <c r="W8" i="96" l="1"/>
  <c r="J7" i="89" l="1"/>
  <c r="J6" i="89"/>
  <c r="J5" i="89"/>
  <c r="O4" i="89"/>
  <c r="M4" i="89"/>
  <c r="H4" i="89"/>
  <c r="I4" i="89" s="1"/>
  <c r="J4" i="89" s="1"/>
  <c r="P4" i="89" l="1"/>
  <c r="Q4" i="89" s="1"/>
  <c r="R4" i="89" s="1"/>
  <c r="S4" i="89" s="1"/>
  <c r="J9" i="75" l="1"/>
  <c r="K9" i="75"/>
  <c r="T6" i="96" l="1"/>
  <c r="X6" i="96" s="1"/>
  <c r="T5" i="96"/>
  <c r="X5" i="96" s="1"/>
  <c r="O8" i="96" l="1"/>
  <c r="M8" i="96"/>
  <c r="K8" i="96" l="1"/>
  <c r="H8" i="96"/>
  <c r="I8" i="96"/>
  <c r="G8" i="96"/>
  <c r="J8" i="96" l="1"/>
  <c r="F8" i="96" s="1"/>
  <c r="AG8" i="96" l="1"/>
  <c r="Y8" i="96"/>
  <c r="AH7" i="96"/>
  <c r="AC7" i="96"/>
  <c r="AH6" i="96"/>
  <c r="AC6" i="96"/>
  <c r="AF8" i="96"/>
  <c r="AC5" i="96"/>
  <c r="AK7" i="96" l="1"/>
  <c r="C7" i="96" s="1"/>
  <c r="AK5" i="96"/>
  <c r="C5" i="96" s="1"/>
  <c r="AK6" i="96"/>
  <c r="C6" i="96" s="1"/>
  <c r="T8" i="96"/>
  <c r="X8" i="96" s="1"/>
  <c r="AH8" i="96"/>
  <c r="AC8" i="96"/>
  <c r="AK8" i="96" l="1"/>
  <c r="AL8" i="96" s="1"/>
  <c r="T10" i="96"/>
  <c r="D1" i="96" l="1"/>
  <c r="C8" i="96"/>
  <c r="D8" i="96" s="1"/>
  <c r="AR8" i="95" l="1"/>
  <c r="AP8" i="95"/>
  <c r="AN8" i="95"/>
  <c r="AL8" i="95"/>
  <c r="AJ8" i="95"/>
  <c r="AH8" i="95"/>
  <c r="AF8" i="95"/>
  <c r="AD8" i="95"/>
  <c r="AB8" i="95"/>
  <c r="Z8" i="95"/>
  <c r="X8" i="95"/>
  <c r="V8" i="95"/>
  <c r="T8" i="95"/>
  <c r="P8" i="95"/>
  <c r="N8" i="95"/>
  <c r="L8" i="95"/>
  <c r="J8" i="95"/>
  <c r="H8" i="95"/>
  <c r="E8" i="95"/>
  <c r="AR7" i="95"/>
  <c r="AP7" i="95"/>
  <c r="AN7" i="95"/>
  <c r="AL7" i="95"/>
  <c r="AJ7" i="95"/>
  <c r="AH7" i="95"/>
  <c r="AF7" i="95"/>
  <c r="AD7" i="95"/>
  <c r="AB7" i="95"/>
  <c r="Z7" i="95"/>
  <c r="X7" i="95"/>
  <c r="V7" i="95"/>
  <c r="T7" i="95"/>
  <c r="P7" i="95"/>
  <c r="N7" i="95"/>
  <c r="L7" i="95"/>
  <c r="J7" i="95"/>
  <c r="H7" i="95"/>
  <c r="E7" i="95"/>
  <c r="AR6" i="95"/>
  <c r="AP6" i="95"/>
  <c r="AN6" i="95"/>
  <c r="AL6" i="95"/>
  <c r="AJ6" i="95"/>
  <c r="AH6" i="95"/>
  <c r="AF6" i="95"/>
  <c r="AD6" i="95"/>
  <c r="AB6" i="95"/>
  <c r="Z6" i="95"/>
  <c r="X6" i="95"/>
  <c r="V6" i="95"/>
  <c r="T6" i="95"/>
  <c r="P6" i="95"/>
  <c r="N6" i="95"/>
  <c r="L6" i="95"/>
  <c r="J6" i="95"/>
  <c r="H6" i="95"/>
  <c r="E6" i="95"/>
  <c r="AR5" i="95"/>
  <c r="AP5" i="95"/>
  <c r="AN5" i="95"/>
  <c r="AL5" i="95"/>
  <c r="AJ5" i="95"/>
  <c r="AH5" i="95"/>
  <c r="AF5" i="95"/>
  <c r="AD5" i="95"/>
  <c r="AB5" i="95"/>
  <c r="Z5" i="95"/>
  <c r="X5" i="95"/>
  <c r="V5" i="95"/>
  <c r="T5" i="95"/>
  <c r="P5" i="95"/>
  <c r="N5" i="95"/>
  <c r="L5" i="95"/>
  <c r="J5" i="95"/>
  <c r="H5" i="95"/>
  <c r="E5" i="95"/>
  <c r="E9" i="95" l="1"/>
  <c r="F5" i="95"/>
  <c r="F7" i="95"/>
  <c r="C7" i="95" s="1"/>
  <c r="D7" i="95" s="1"/>
  <c r="B7" i="95" s="1"/>
  <c r="F8" i="95"/>
  <c r="F6" i="95"/>
  <c r="C6" i="95" s="1"/>
  <c r="C5" i="95" l="1"/>
  <c r="D5" i="95" s="1"/>
  <c r="C8" i="95"/>
  <c r="D8" i="95" s="1"/>
  <c r="B8" i="95" s="1"/>
  <c r="D6" i="95"/>
  <c r="B6" i="95" s="1"/>
  <c r="C9" i="95" l="1"/>
  <c r="B5" i="95"/>
  <c r="D9" i="95"/>
  <c r="B9" i="95"/>
  <c r="T9" i="75" l="1"/>
  <c r="Q9" i="75"/>
  <c r="L9" i="75"/>
  <c r="D10" i="94" l="1"/>
  <c r="C10" i="94"/>
  <c r="E10" i="94" l="1"/>
  <c r="F10" i="94" s="1"/>
  <c r="E8" i="75" l="1"/>
  <c r="N8" i="75"/>
  <c r="E7" i="75"/>
  <c r="E6" i="75"/>
  <c r="E5" i="75"/>
  <c r="AC9" i="75"/>
  <c r="E9" i="75" l="1"/>
  <c r="N6" i="75"/>
  <c r="N9" i="75" s="1"/>
  <c r="V9" i="75" s="1"/>
  <c r="D9" i="75"/>
  <c r="I9" i="75"/>
  <c r="G9" i="75" l="1"/>
  <c r="H9" i="75" s="1"/>
  <c r="H10" i="64" l="1"/>
  <c r="I10" i="64" s="1"/>
  <c r="U10" i="64"/>
  <c r="V10" i="64" s="1"/>
  <c r="Q10" i="64"/>
  <c r="L10" i="64"/>
  <c r="M10" i="64" l="1"/>
  <c r="N10" i="64" s="1"/>
  <c r="C10" i="64"/>
  <c r="D10" i="64" s="1"/>
</calcChain>
</file>

<file path=xl/sharedStrings.xml><?xml version="1.0" encoding="utf-8"?>
<sst xmlns="http://schemas.openxmlformats.org/spreadsheetml/2006/main" count="351" uniqueCount="237">
  <si>
    <t>№№</t>
  </si>
  <si>
    <t>Наименование школы</t>
  </si>
  <si>
    <t>225.6</t>
  </si>
  <si>
    <t>225.1</t>
  </si>
  <si>
    <t>Прием и утилизация бытовых отходов</t>
  </si>
  <si>
    <t>Вывоз мусора</t>
  </si>
  <si>
    <t>226.5</t>
  </si>
  <si>
    <t>226.7</t>
  </si>
  <si>
    <t>Подписка на период. изд.</t>
  </si>
  <si>
    <t>290.2 - выплата стипендий</t>
  </si>
  <si>
    <t>15.</t>
  </si>
  <si>
    <t>290.1.2 - уплата налогов</t>
  </si>
  <si>
    <t>290.1.1 - уплата налогов</t>
  </si>
  <si>
    <t>Кол-во учащихся и воспитан. ДГ</t>
  </si>
  <si>
    <t>Наименование школ</t>
  </si>
  <si>
    <t xml:space="preserve">Страховка трактора и прицепа  </t>
  </si>
  <si>
    <t xml:space="preserve">Страх.авто транспорта            </t>
  </si>
  <si>
    <t>МБОУ СОШ с.Ташбулатово</t>
  </si>
  <si>
    <t>филиал - НОШ д.Биккулово</t>
  </si>
  <si>
    <t>филиал - НОШ д.Кусимово</t>
  </si>
  <si>
    <t>филиал - НОШ д.Аюсазово</t>
  </si>
  <si>
    <t>Итого по школе:</t>
  </si>
  <si>
    <t>Наименование учреждений</t>
  </si>
  <si>
    <t>ВСЕГО</t>
  </si>
  <si>
    <t>Количество воспитанников</t>
  </si>
  <si>
    <t>Нормативные затраты на 1 муниципальную услугу в год</t>
  </si>
  <si>
    <t>Количество учащихся, воспитанников</t>
  </si>
  <si>
    <t xml:space="preserve">226.9 </t>
  </si>
  <si>
    <t xml:space="preserve">Кол-во пед.работников на прох.медосмотра </t>
  </si>
  <si>
    <t xml:space="preserve">Кол-во АУП и УВП на прох.медосмотра </t>
  </si>
  <si>
    <t xml:space="preserve">Кол-во тех.работников на прох.медосмотра </t>
  </si>
  <si>
    <t>Нормативные затраты на 1 муниципальную услугу</t>
  </si>
  <si>
    <t>авт.6316,2</t>
  </si>
  <si>
    <t>легк.5909,67</t>
  </si>
  <si>
    <t>газель5054,4</t>
  </si>
  <si>
    <t xml:space="preserve">Количество класс-комплектов, групп в ДОУ и  ДГ </t>
  </si>
  <si>
    <t>225.4</t>
  </si>
  <si>
    <t>Всего по статье 290</t>
  </si>
  <si>
    <t>Всего по статье 340</t>
  </si>
  <si>
    <t>226.8</t>
  </si>
  <si>
    <t>Налог при УСН</t>
  </si>
  <si>
    <t>ГИС "Единая электрон.очередь в ДОУ в электр.виде"</t>
  </si>
  <si>
    <t>Повар</t>
  </si>
  <si>
    <t>Помощник повара</t>
  </si>
  <si>
    <t>тракт.2100</t>
  </si>
  <si>
    <t>груз.9316,2</t>
  </si>
  <si>
    <t>Оператор</t>
  </si>
  <si>
    <t>филиал - ДГ д.Биккулово</t>
  </si>
  <si>
    <t>Проект бюджета на 2019 год</t>
  </si>
  <si>
    <t>290.7</t>
  </si>
  <si>
    <t>290.8 - Расходы на оплату проезда, питания, найма жилых помещений для учащихся общеобраз.,спорт.и иных образ.учрежд. на различного рода мероприятия, и  сопровождающих лиц, не явл-ся штатн.работниками</t>
  </si>
  <si>
    <t>Иные расходы</t>
  </si>
  <si>
    <t>Зап.части для автомобилей - ст.346</t>
  </si>
  <si>
    <t>Колеса на автомобили - ст.346</t>
  </si>
  <si>
    <t>Зап.части для тракторов - ст.346</t>
  </si>
  <si>
    <t>Всего по статье 312</t>
  </si>
  <si>
    <t>МОБУ СОШ с.Ташбулатово</t>
  </si>
  <si>
    <t>Инструктор по вождению</t>
  </si>
  <si>
    <t>Заведующий хозяйством</t>
  </si>
  <si>
    <t>Делопроизводитель</t>
  </si>
  <si>
    <t>Сторож</t>
  </si>
  <si>
    <t>Водитель автомобиля</t>
  </si>
  <si>
    <t>Истопник</t>
  </si>
  <si>
    <t>Тракторист</t>
  </si>
  <si>
    <t>Зам.директора по АХЧ</t>
  </si>
  <si>
    <t>Шт.ед.</t>
  </si>
  <si>
    <t>ст.211 за месяц</t>
  </si>
  <si>
    <t>Водители автобусов</t>
  </si>
  <si>
    <t>Обучение поваров, операторов, завхозов</t>
  </si>
  <si>
    <t>Завед.хозяйством</t>
  </si>
  <si>
    <t>Операторы</t>
  </si>
  <si>
    <t>Повара</t>
  </si>
  <si>
    <t>Карта водителя автобуса и тахографические услуги</t>
  </si>
  <si>
    <t>Количество  класс-комплектов</t>
  </si>
  <si>
    <t>Количество групп</t>
  </si>
  <si>
    <t>Количество учащихся</t>
  </si>
  <si>
    <t>Приобретение классных журналов</t>
  </si>
  <si>
    <t>Бланк аттестата, прил.к аттестату, тверд.обложка</t>
  </si>
  <si>
    <t>9 кл.</t>
  </si>
  <si>
    <t>11 кл.</t>
  </si>
  <si>
    <t>225.2</t>
  </si>
  <si>
    <t>Строит. матер.344</t>
  </si>
  <si>
    <t>Мягкий инвентарь - ст.345</t>
  </si>
  <si>
    <t>статья 346</t>
  </si>
  <si>
    <r>
      <t xml:space="preserve">Приобретение подарков и  сувениров, не предназн.для дальнейш.перепродажи </t>
    </r>
    <r>
      <rPr>
        <sz val="10"/>
        <color rgb="FFFF0000"/>
        <rFont val="Arial Cyr"/>
        <charset val="204"/>
      </rPr>
      <t>(грамоты, дипломы, цветы….)</t>
    </r>
  </si>
  <si>
    <r>
      <t xml:space="preserve">госпошлина - ГА, ЭЦП, переоформление документов </t>
    </r>
    <r>
      <rPr>
        <b/>
        <sz val="10"/>
        <rFont val="Arial Cyr"/>
        <charset val="204"/>
      </rPr>
      <t>290.1.2</t>
    </r>
  </si>
  <si>
    <t>Обслуживание видеонаблюдения (1500 в месяц на 1 объект)</t>
  </si>
  <si>
    <t>статья 341</t>
  </si>
  <si>
    <t>статья 344</t>
  </si>
  <si>
    <t>статья 345</t>
  </si>
  <si>
    <t>Наградной фонд</t>
  </si>
  <si>
    <t>Расходы на оплату проезда, питания, найма жилых помещений для учащихся общеобраз.,спорт.и иных образ.учрежд. на различного рода мероприятия, и  сопровождающих лиц, не явл-ся штатн.работниками</t>
  </si>
  <si>
    <t>Высокотехнологичное оборудование</t>
  </si>
  <si>
    <t>Спортивный инвентарь</t>
  </si>
  <si>
    <t>Бюджетная смета</t>
  </si>
  <si>
    <r>
      <t xml:space="preserve">Земельный налог </t>
    </r>
    <r>
      <rPr>
        <b/>
        <sz val="10"/>
        <rFont val="Arial Cyr"/>
        <charset val="204"/>
      </rPr>
      <t>291/851</t>
    </r>
  </si>
  <si>
    <r>
      <t xml:space="preserve">Налог на имущество </t>
    </r>
    <r>
      <rPr>
        <b/>
        <sz val="10"/>
        <rFont val="Arial Cyr"/>
        <charset val="204"/>
      </rPr>
      <t>291/851</t>
    </r>
  </si>
  <si>
    <t>\</t>
  </si>
  <si>
    <t>Техминимум для водителей школьных автобусов</t>
  </si>
  <si>
    <t xml:space="preserve">Гарантийное обслуживание автобусов </t>
  </si>
  <si>
    <t>226.11</t>
  </si>
  <si>
    <t>потребность ГСМ за зимний период в день (л)</t>
  </si>
  <si>
    <t>потребность ГСМ за летний период в день (л) по раб.дням</t>
  </si>
  <si>
    <t>потребность ГСМ за зимий период в день (л) по раб.дням</t>
  </si>
  <si>
    <t>Бюджетная смета 346</t>
  </si>
  <si>
    <t>Наименование учреждения</t>
  </si>
  <si>
    <t>Марка автотранспорта</t>
  </si>
  <si>
    <t>Маршрут</t>
  </si>
  <si>
    <t>потребность ГСМ  за летний период в день (л)</t>
  </si>
  <si>
    <t xml:space="preserve">ПАЗ-32053-70 </t>
  </si>
  <si>
    <t>У 802 ТУ</t>
  </si>
  <si>
    <t>ГАЗ-322121</t>
  </si>
  <si>
    <t>Х 849 МХ</t>
  </si>
  <si>
    <t>Уборщик производственных помещений</t>
  </si>
  <si>
    <t>Дворник</t>
  </si>
  <si>
    <t>Рабочий по обслуж.и текущ.ремонту здан.и сооруж.</t>
  </si>
  <si>
    <t>Гардеробщик</t>
  </si>
  <si>
    <t>Рабочий по стирке белья</t>
  </si>
  <si>
    <t>Вахтер</t>
  </si>
  <si>
    <t>Электрик</t>
  </si>
  <si>
    <t>Слесарь-сантехник</t>
  </si>
  <si>
    <r>
      <t xml:space="preserve">Транспорт.налог   </t>
    </r>
    <r>
      <rPr>
        <b/>
        <sz val="10"/>
        <rFont val="Arial Cyr"/>
        <charset val="204"/>
      </rPr>
      <t>291/852</t>
    </r>
  </si>
  <si>
    <t>ст 346</t>
  </si>
  <si>
    <t>ст 349</t>
  </si>
  <si>
    <t>Корона</t>
  </si>
  <si>
    <t>Смены</t>
  </si>
  <si>
    <t>№п/п</t>
  </si>
  <si>
    <t>Сумма с НДС</t>
  </si>
  <si>
    <t>м3</t>
  </si>
  <si>
    <t>НОШ д.Аюсазово</t>
  </si>
  <si>
    <t>НОШ д.Кусимово</t>
  </si>
  <si>
    <t>цена</t>
  </si>
  <si>
    <t>Технадзор</t>
  </si>
  <si>
    <t>километраж по маршруту в день 2023 год</t>
  </si>
  <si>
    <t>12 месяцев</t>
  </si>
  <si>
    <t>раб.дней в летний период с 15.04</t>
  </si>
  <si>
    <t>раб.дней в зимний период с 01.11</t>
  </si>
  <si>
    <t>Типографские работы, услуги</t>
  </si>
  <si>
    <t>Начальник МКУ ОО АМР Абзелиловский район РБ                                                    В.С.Абсадиева</t>
  </si>
  <si>
    <t>Охранные услуги (1500р в месяц)</t>
  </si>
  <si>
    <t xml:space="preserve">услуги охраны ОВО </t>
  </si>
  <si>
    <t>ВСЕГО на 2025 год по статье 226</t>
  </si>
  <si>
    <t xml:space="preserve"> Сумма на прохождение медосмотра (2500руб.)</t>
  </si>
  <si>
    <t>Прочие иные услуги (нотар.усл, услуги пна провед.техосм итд)</t>
  </si>
  <si>
    <t>Бюджетная смета на 2025 год</t>
  </si>
  <si>
    <t>Бюджетная смета  на 2025 год</t>
  </si>
  <si>
    <t>Медикаменты (10руб на 1реб) - Проект бюджета на 2025-27 годы</t>
  </si>
  <si>
    <t>ИТОГО:</t>
  </si>
  <si>
    <t>Смета бюджета на 2025 год</t>
  </si>
  <si>
    <t>Наименование товара (описание выполненных работ, оказанных услуг), имущественного права</t>
  </si>
  <si>
    <t>цена с НДС</t>
  </si>
  <si>
    <t>Сумма с НДС на месяц</t>
  </si>
  <si>
    <t>Сумма с НДС годовая</t>
  </si>
  <si>
    <t>кол-во телеф. точек</t>
  </si>
  <si>
    <t>СТС Местный трафик повр. сист.</t>
  </si>
  <si>
    <t>Коэф-т 1,05</t>
  </si>
  <si>
    <t xml:space="preserve">РБ_Польз.сетью Интернет Тендер 50 Мбит/с (Eth) </t>
  </si>
  <si>
    <t>НОШ д.Биккулово</t>
  </si>
  <si>
    <t>итого</t>
  </si>
  <si>
    <t>Потребность ГСМ по подвозу учащихся по образовательным учреждениям  Абзелиловского района на 2025 учебный год</t>
  </si>
  <si>
    <t>с29.12 по 12.01 зимние</t>
  </si>
  <si>
    <t>29.03-06.04 весен</t>
  </si>
  <si>
    <t>с 27.05-31.08 каникулы</t>
  </si>
  <si>
    <t>с27.10-04.11 каникулы</t>
  </si>
  <si>
    <r>
      <t>21(</t>
    </r>
    <r>
      <rPr>
        <sz val="11"/>
        <color rgb="FFFF0000"/>
        <rFont val="Calibri"/>
        <family val="2"/>
        <charset val="204"/>
        <scheme val="minor"/>
      </rPr>
      <t>7/14</t>
    </r>
    <r>
      <rPr>
        <sz val="10"/>
        <rFont val="Arial Cyr"/>
        <charset val="204"/>
      </rPr>
      <t>)</t>
    </r>
  </si>
  <si>
    <t>километраж по маршруту в день 2024 год</t>
  </si>
  <si>
    <t>потребность на раб.дн.  (в литрах)</t>
  </si>
  <si>
    <t>потребность на  раб.дн. уч.дней в рублях</t>
  </si>
  <si>
    <t>ВСЕГО с сентября по декабрь м-ц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</si>
  <si>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</si>
  <si>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</si>
  <si>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</si>
  <si>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</si>
  <si>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</si>
  <si>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</si>
  <si>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</si>
  <si>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</si>
  <si>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</si>
  <si>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</si>
  <si>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</si>
  <si>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</si>
  <si>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контроль</t>
  </si>
  <si>
    <t>МОБУ СОШ с.Ташбулатово (авг-янв)</t>
  </si>
  <si>
    <t>60 руб./72руб.</t>
  </si>
  <si>
    <r>
      <rPr>
        <sz val="10"/>
        <rFont val="Arial Cyr"/>
        <charset val="204"/>
      </rPr>
      <t>Бланки</t>
    </r>
    <r>
      <rPr>
        <sz val="10"/>
        <color rgb="FFFF0000"/>
        <rFont val="Arial Cyr"/>
        <charset val="204"/>
      </rPr>
      <t xml:space="preserve"> (путевые листы, итд)</t>
    </r>
  </si>
  <si>
    <t>ВСЕГО на 2025 год по статье 225</t>
  </si>
  <si>
    <t>норматив ГСМ летний период на 100 км.(л)</t>
  </si>
  <si>
    <t>норматив ГСМ зимний период на 100 км.(12%)  (л)</t>
  </si>
  <si>
    <t>Канцелярские принадлежности (1000р на 1кл-комп)</t>
  </si>
  <si>
    <t>Ташбулатово-Кусимово-Ташбулатово, Ташбулатово-Биккулово-Ташбулатово, Ташбулатово-Теляшево-Ташбулатово</t>
  </si>
  <si>
    <t>Ташбулатово-станция-Покровка-Ташбулатово, Ташбулатово-Аюсазово-Ташбулатово,</t>
  </si>
  <si>
    <t>услуги по физохране (55000 в месяц)</t>
  </si>
  <si>
    <t>охранные услуги (6000р в месяц)</t>
  </si>
  <si>
    <t>Дезинфекция, дератизация помещений,территории</t>
  </si>
  <si>
    <t>ИТОГО по 226.9</t>
  </si>
  <si>
    <t>ИТОГО по 226.11</t>
  </si>
  <si>
    <t>ИТОГО ПО 226.7</t>
  </si>
  <si>
    <t>ИТОГО ПО 226.5</t>
  </si>
  <si>
    <r>
      <t xml:space="preserve">Обучение по охране труда, пожарной безопасности </t>
    </r>
    <r>
      <rPr>
        <b/>
        <i/>
        <sz val="10"/>
        <rFont val="Arial Cyr"/>
        <charset val="204"/>
      </rPr>
      <t>на 2025г.</t>
    </r>
  </si>
  <si>
    <t>Командировочные расходы - за проезд,проживание</t>
  </si>
  <si>
    <t>Услуги в области информац. безопас (эл.под,сертификат)</t>
  </si>
  <si>
    <t xml:space="preserve"> ФИС ФРДО</t>
  </si>
  <si>
    <t>ИТОГО ПО 225.1</t>
  </si>
  <si>
    <t>ИТОГО ПО 225.4</t>
  </si>
  <si>
    <t>ИТОГО ПО 225.6</t>
  </si>
  <si>
    <t>Тех.обслужив кух инвент,пищеблока(5500р в месяц)</t>
  </si>
  <si>
    <t>Тех.осмотр автобусов (2500 руб.*2р.в год)</t>
  </si>
  <si>
    <t>Тех.осмотр трактора и тележки  (1000*2 руб.)</t>
  </si>
  <si>
    <t>Заправка картриджа</t>
  </si>
  <si>
    <t>Услуги по ТО система ГЛОНАСС (ежекварт 1300р)</t>
  </si>
  <si>
    <t>Тех.обслуж., поверка и ремонт газ.сетей,форма -20 (ГАЗпром)</t>
  </si>
  <si>
    <t>Тех.по проверке вентиляц.дымох.каналов(Башгазстрой)</t>
  </si>
  <si>
    <t>Услуги ТО комплекса тех средств охраны (Росгвардия 2600р ежемес)</t>
  </si>
  <si>
    <t>ТО оборудования</t>
  </si>
  <si>
    <t>МРОТ</t>
  </si>
  <si>
    <t>Сист.спутник.мониторинга на автобусы (навигационные услуги)</t>
  </si>
  <si>
    <t>Предрейсовый и послерейсовый медосмотр водителей автобусов (180руб.*185дней)</t>
  </si>
  <si>
    <t>медосмотр у психолога, нарколога водителей автобусов (1200р)</t>
  </si>
  <si>
    <t>Тек.ремонт оборудования</t>
  </si>
  <si>
    <t>Хозяйственные материалы</t>
  </si>
  <si>
    <t>Бюджетная смета на оплату услуг по содержанию имущества на 2025 год и плановый период 2026-2027 годы по группе 013-11</t>
  </si>
  <si>
    <t xml:space="preserve">Бюджетная смета на 2025 год </t>
  </si>
  <si>
    <t>Бюджетная смета на оплату услуги связи (ст.221),   на 2025 год и плановый период 2026 - 2027 годы по группе 013-112.205</t>
  </si>
  <si>
    <t>Бюджетная смета по прочим работам и услугам на 2025 год и плановый период 2026-2027 годы по группе 013-11</t>
  </si>
  <si>
    <t>Бюджетная смета на 2025 год по ст.227</t>
  </si>
  <si>
    <t>Бюджетная смета по статье 290 на 2025 год и плановый период 2026-2027 годы по группе 013-11</t>
  </si>
  <si>
    <t>Бюджетная смета по приобретению основных средств на 2025 год  по группе 013-11</t>
  </si>
  <si>
    <t>Бюджетная смета по статье 340  на 2025год и плановый период 2026-2027 годы по группе 013-11</t>
  </si>
  <si>
    <t>Приобретение оборудование (инвентаря)</t>
  </si>
  <si>
    <t>Производственный контроль (исследование воды и почвы)</t>
  </si>
  <si>
    <t>Производственный контроль лабор.исследование готовой пищи</t>
  </si>
  <si>
    <t>Текущей ремонт входной группы  (крыльцо)</t>
  </si>
  <si>
    <t>Обслуживание котельных ООО ТЭК</t>
  </si>
  <si>
    <t>Усл.по тех монит.и эксп-техн.обсл.объект.станции (ООО БПК Мираж) ежекварт</t>
  </si>
  <si>
    <t>Вывод сигнала о срабатывании автомат.пожар.сигнализации на пульт госуд.пожар.службы01 (Муп Аскар)</t>
  </si>
  <si>
    <t>Интернет на 2025 год</t>
  </si>
  <si>
    <t>Абонент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</si>
</sst>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#,##0_ ;\-#,##0\ "/>
    <numFmt numFmtId="166" formatCode="0.0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b/>
      <sz val="10"/>
      <color rgb="FFFF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2"/>
      <color theme="1"/>
      <name val="Arial Cyr"/>
      <charset val="204"/>
    </font>
    <font>
      <i/>
      <sz val="10"/>
      <color theme="1"/>
      <name val="Arial Cyr"/>
      <charset val="204"/>
    </font>
    <font>
      <b/>
      <i/>
      <sz val="10"/>
      <color theme="1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FF000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FF0000"/>
      <name val="Arial Cyr"/>
      <charset val="204"/>
    </font>
    <font>
      <b/>
      <i/>
      <sz val="10"/>
      <color rgb="FFFF0000"/>
      <name val="Arial Cyr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2">
    <xf numFmtId="0" fontId="0" fillId="0" borderId="0"/>
    <xf numFmtId="0" fontId="9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9" fillId="0" borderId="0"/>
    <xf numFmtId="0" fontId="28" fillId="0" borderId="0"/>
    <xf numFmtId="0" fontId="9" fillId="0" borderId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5" borderId="0" applyNumberFormat="0" applyBorder="0" applyAlignment="0" applyProtection="0"/>
    <xf numFmtId="0" fontId="29" fillId="13" borderId="41" applyNumberFormat="0" applyAlignment="0" applyProtection="0"/>
    <xf numFmtId="0" fontId="30" fillId="26" borderId="42" applyNumberFormat="0" applyAlignment="0" applyProtection="0"/>
    <xf numFmtId="0" fontId="31" fillId="26" borderId="41" applyNumberFormat="0" applyAlignment="0" applyProtection="0"/>
    <xf numFmtId="0" fontId="32" fillId="0" borderId="43" applyNumberFormat="0" applyFill="0" applyAlignment="0" applyProtection="0"/>
    <xf numFmtId="0" fontId="33" fillId="0" borderId="44" applyNumberFormat="0" applyFill="0" applyAlignment="0" applyProtection="0"/>
    <xf numFmtId="0" fontId="34" fillId="0" borderId="45" applyNumberFormat="0" applyFill="0" applyAlignment="0" applyProtection="0"/>
    <xf numFmtId="0" fontId="34" fillId="0" borderId="0" applyNumberFormat="0" applyFill="0" applyBorder="0" applyAlignment="0" applyProtection="0"/>
    <xf numFmtId="0" fontId="19" fillId="0" borderId="46" applyNumberFormat="0" applyFill="0" applyAlignment="0" applyProtection="0"/>
    <xf numFmtId="0" fontId="35" fillId="27" borderId="47" applyNumberFormat="0" applyAlignment="0" applyProtection="0"/>
    <xf numFmtId="0" fontId="36" fillId="0" borderId="0" applyNumberFormat="0" applyFill="0" applyBorder="0" applyAlignment="0" applyProtection="0"/>
    <xf numFmtId="0" fontId="37" fillId="28" borderId="0" applyNumberFormat="0" applyBorder="0" applyAlignment="0" applyProtection="0"/>
    <xf numFmtId="0" fontId="28" fillId="0" borderId="0"/>
    <xf numFmtId="0" fontId="38" fillId="0" borderId="0"/>
    <xf numFmtId="0" fontId="28" fillId="0" borderId="0"/>
    <xf numFmtId="0" fontId="9" fillId="0" borderId="0"/>
    <xf numFmtId="0" fontId="9" fillId="0" borderId="0"/>
    <xf numFmtId="0" fontId="7" fillId="0" borderId="0"/>
    <xf numFmtId="0" fontId="39" fillId="9" borderId="0" applyNumberFormat="0" applyBorder="0" applyAlignment="0" applyProtection="0"/>
    <xf numFmtId="0" fontId="40" fillId="0" borderId="0" applyNumberFormat="0" applyFill="0" applyBorder="0" applyAlignment="0" applyProtection="0"/>
    <xf numFmtId="0" fontId="9" fillId="29" borderId="48" applyNumberFormat="0" applyFont="0" applyAlignment="0" applyProtection="0"/>
    <xf numFmtId="0" fontId="41" fillId="0" borderId="49" applyNumberFormat="0" applyFill="0" applyAlignment="0" applyProtection="0"/>
    <xf numFmtId="0" fontId="42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43" fillId="10" borderId="0" applyNumberFormat="0" applyBorder="0" applyAlignment="0" applyProtection="0"/>
    <xf numFmtId="0" fontId="9" fillId="0" borderId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5" borderId="0" applyNumberFormat="0" applyBorder="0" applyAlignment="0" applyProtection="0"/>
    <xf numFmtId="0" fontId="29" fillId="13" borderId="41" applyNumberFormat="0" applyAlignment="0" applyProtection="0"/>
    <xf numFmtId="0" fontId="30" fillId="26" borderId="42" applyNumberFormat="0" applyAlignment="0" applyProtection="0"/>
    <xf numFmtId="0" fontId="31" fillId="26" borderId="41" applyNumberFormat="0" applyAlignment="0" applyProtection="0"/>
    <xf numFmtId="0" fontId="32" fillId="0" borderId="43" applyNumberFormat="0" applyFill="0" applyAlignment="0" applyProtection="0"/>
    <xf numFmtId="0" fontId="33" fillId="0" borderId="44" applyNumberFormat="0" applyFill="0" applyAlignment="0" applyProtection="0"/>
    <xf numFmtId="0" fontId="34" fillId="0" borderId="45" applyNumberFormat="0" applyFill="0" applyAlignment="0" applyProtection="0"/>
    <xf numFmtId="0" fontId="34" fillId="0" borderId="0" applyNumberFormat="0" applyFill="0" applyBorder="0" applyAlignment="0" applyProtection="0"/>
    <xf numFmtId="0" fontId="19" fillId="0" borderId="46" applyNumberFormat="0" applyFill="0" applyAlignment="0" applyProtection="0"/>
    <xf numFmtId="0" fontId="35" fillId="27" borderId="47" applyNumberFormat="0" applyAlignment="0" applyProtection="0"/>
    <xf numFmtId="0" fontId="36" fillId="0" borderId="0" applyNumberFormat="0" applyFill="0" applyBorder="0" applyAlignment="0" applyProtection="0"/>
    <xf numFmtId="0" fontId="37" fillId="28" borderId="0" applyNumberFormat="0" applyBorder="0" applyAlignment="0" applyProtection="0"/>
    <xf numFmtId="0" fontId="28" fillId="0" borderId="0"/>
    <xf numFmtId="0" fontId="38" fillId="0" borderId="0"/>
    <xf numFmtId="0" fontId="28" fillId="0" borderId="0"/>
    <xf numFmtId="0" fontId="9" fillId="0" borderId="0"/>
    <xf numFmtId="0" fontId="39" fillId="9" borderId="0" applyNumberFormat="0" applyBorder="0" applyAlignment="0" applyProtection="0"/>
    <xf numFmtId="0" fontId="40" fillId="0" borderId="0" applyNumberFormat="0" applyFill="0" applyBorder="0" applyAlignment="0" applyProtection="0"/>
    <xf numFmtId="0" fontId="9" fillId="29" borderId="48" applyNumberFormat="0" applyFont="0" applyAlignment="0" applyProtection="0"/>
    <xf numFmtId="0" fontId="41" fillId="0" borderId="49" applyNumberFormat="0" applyFill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9" fillId="0" borderId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5" borderId="0" applyNumberFormat="0" applyBorder="0" applyAlignment="0" applyProtection="0"/>
    <xf numFmtId="0" fontId="29" fillId="13" borderId="41" applyNumberFormat="0" applyAlignment="0" applyProtection="0"/>
    <xf numFmtId="0" fontId="30" fillId="26" borderId="42" applyNumberFormat="0" applyAlignment="0" applyProtection="0"/>
    <xf numFmtId="0" fontId="31" fillId="26" borderId="41" applyNumberFormat="0" applyAlignment="0" applyProtection="0"/>
    <xf numFmtId="0" fontId="32" fillId="0" borderId="43" applyNumberFormat="0" applyFill="0" applyAlignment="0" applyProtection="0"/>
    <xf numFmtId="0" fontId="33" fillId="0" borderId="44" applyNumberFormat="0" applyFill="0" applyAlignment="0" applyProtection="0"/>
    <xf numFmtId="0" fontId="34" fillId="0" borderId="45" applyNumberFormat="0" applyFill="0" applyAlignment="0" applyProtection="0"/>
    <xf numFmtId="0" fontId="34" fillId="0" borderId="0" applyNumberFormat="0" applyFill="0" applyBorder="0" applyAlignment="0" applyProtection="0"/>
    <xf numFmtId="0" fontId="19" fillId="0" borderId="46" applyNumberFormat="0" applyFill="0" applyAlignment="0" applyProtection="0"/>
    <xf numFmtId="0" fontId="35" fillId="27" borderId="47" applyNumberFormat="0" applyAlignment="0" applyProtection="0"/>
    <xf numFmtId="0" fontId="36" fillId="0" borderId="0" applyNumberFormat="0" applyFill="0" applyBorder="0" applyAlignment="0" applyProtection="0"/>
    <xf numFmtId="0" fontId="37" fillId="28" borderId="0" applyNumberFormat="0" applyBorder="0" applyAlignment="0" applyProtection="0"/>
    <xf numFmtId="0" fontId="28" fillId="0" borderId="0"/>
    <xf numFmtId="0" fontId="38" fillId="0" borderId="0"/>
    <xf numFmtId="0" fontId="28" fillId="0" borderId="0"/>
    <xf numFmtId="0" fontId="9" fillId="0" borderId="0"/>
    <xf numFmtId="0" fontId="39" fillId="9" borderId="0" applyNumberFormat="0" applyBorder="0" applyAlignment="0" applyProtection="0"/>
    <xf numFmtId="0" fontId="40" fillId="0" borderId="0" applyNumberFormat="0" applyFill="0" applyBorder="0" applyAlignment="0" applyProtection="0"/>
    <xf numFmtId="0" fontId="9" fillId="29" borderId="48" applyNumberFormat="0" applyFont="0" applyAlignment="0" applyProtection="0"/>
    <xf numFmtId="0" fontId="41" fillId="0" borderId="49" applyNumberFormat="0" applyFill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5" fillId="38" borderId="0" applyNumberFormat="0" applyBorder="0" applyAlignment="0" applyProtection="0"/>
    <xf numFmtId="0" fontId="1" fillId="0" borderId="0"/>
  </cellStyleXfs>
  <cellXfs count="457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2" fillId="0" borderId="0" xfId="0" applyFont="1"/>
    <xf numFmtId="49" fontId="0" fillId="2" borderId="2" xfId="0" applyNumberForma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/>
    </xf>
    <xf numFmtId="0" fontId="12" fillId="0" borderId="2" xfId="0" applyFont="1" applyBorder="1"/>
    <xf numFmtId="1" fontId="12" fillId="0" borderId="2" xfId="0" applyNumberFormat="1" applyFont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 wrapText="1"/>
    </xf>
    <xf numFmtId="1" fontId="0" fillId="2" borderId="2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" fontId="0" fillId="2" borderId="2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2" fillId="0" borderId="11" xfId="0" applyFont="1" applyBorder="1"/>
    <xf numFmtId="1" fontId="0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/>
    </xf>
    <xf numFmtId="1" fontId="12" fillId="2" borderId="5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2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1" fontId="0" fillId="0" borderId="2" xfId="0" applyNumberFormat="1" applyFont="1" applyBorder="1" applyAlignment="1">
      <alignment horizontal="center" vertical="center"/>
    </xf>
    <xf numFmtId="0" fontId="0" fillId="0" borderId="0" xfId="0" applyFont="1"/>
    <xf numFmtId="0" fontId="14" fillId="0" borderId="3" xfId="0" applyFont="1" applyBorder="1" applyAlignment="1">
      <alignment horizontal="right" vertical="center"/>
    </xf>
    <xf numFmtId="0" fontId="0" fillId="0" borderId="6" xfId="0" applyFont="1" applyBorder="1" applyAlignment="1">
      <alignment horizontal="center" vertical="center"/>
    </xf>
    <xf numFmtId="1" fontId="0" fillId="0" borderId="6" xfId="0" applyNumberFormat="1" applyFont="1" applyBorder="1" applyAlignment="1">
      <alignment horizontal="center" vertical="center"/>
    </xf>
    <xf numFmtId="0" fontId="0" fillId="4" borderId="0" xfId="0" applyFill="1"/>
    <xf numFmtId="49" fontId="20" fillId="2" borderId="2" xfId="0" applyNumberFormat="1" applyFont="1" applyFill="1" applyBorder="1" applyAlignment="1">
      <alignment horizontal="center" vertical="center" wrapText="1"/>
    </xf>
    <xf numFmtId="1" fontId="20" fillId="2" borderId="2" xfId="0" applyNumberFormat="1" applyFont="1" applyFill="1" applyBorder="1" applyAlignment="1">
      <alignment horizontal="center"/>
    </xf>
    <xf numFmtId="1" fontId="20" fillId="2" borderId="17" xfId="0" applyNumberFormat="1" applyFont="1" applyFill="1" applyBorder="1" applyAlignment="1">
      <alignment horizontal="center"/>
    </xf>
    <xf numFmtId="0" fontId="20" fillId="0" borderId="0" xfId="0" applyFont="1" applyBorder="1"/>
    <xf numFmtId="0" fontId="20" fillId="0" borderId="0" xfId="0" applyFont="1"/>
    <xf numFmtId="0" fontId="21" fillId="0" borderId="0" xfId="0" applyFont="1"/>
    <xf numFmtId="1" fontId="21" fillId="2" borderId="2" xfId="0" applyNumberFormat="1" applyFont="1" applyFill="1" applyBorder="1" applyAlignment="1">
      <alignment horizontal="center"/>
    </xf>
    <xf numFmtId="1" fontId="21" fillId="4" borderId="2" xfId="0" applyNumberFormat="1" applyFont="1" applyFill="1" applyBorder="1" applyAlignment="1">
      <alignment horizontal="center"/>
    </xf>
    <xf numFmtId="49" fontId="0" fillId="2" borderId="2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1" fontId="25" fillId="2" borderId="2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" fontId="0" fillId="0" borderId="10" xfId="0" applyNumberFormat="1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2" borderId="6" xfId="0" applyNumberFormat="1" applyFont="1" applyFill="1" applyBorder="1" applyAlignment="1">
      <alignment horizontal="center" vertical="center" wrapText="1"/>
    </xf>
    <xf numFmtId="1" fontId="25" fillId="2" borderId="7" xfId="0" applyNumberFormat="1" applyFont="1" applyFill="1" applyBorder="1" applyAlignment="1">
      <alignment horizontal="center" vertical="center"/>
    </xf>
    <xf numFmtId="1" fontId="26" fillId="2" borderId="7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9" fontId="20" fillId="2" borderId="7" xfId="0" applyNumberFormat="1" applyFont="1" applyFill="1" applyBorder="1" applyAlignment="1">
      <alignment horizontal="center" vertical="center" wrapText="1"/>
    </xf>
    <xf numFmtId="1" fontId="20" fillId="2" borderId="7" xfId="0" applyNumberFormat="1" applyFont="1" applyFill="1" applyBorder="1" applyAlignment="1">
      <alignment horizontal="center"/>
    </xf>
    <xf numFmtId="1" fontId="21" fillId="2" borderId="7" xfId="0" applyNumberFormat="1" applyFont="1" applyFill="1" applyBorder="1" applyAlignment="1">
      <alignment horizontal="center"/>
    </xf>
    <xf numFmtId="0" fontId="20" fillId="0" borderId="13" xfId="0" applyFont="1" applyBorder="1"/>
    <xf numFmtId="49" fontId="0" fillId="2" borderId="36" xfId="0" applyNumberFormat="1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0" xfId="0" applyAlignment="1">
      <alignment horizontal="center"/>
    </xf>
    <xf numFmtId="49" fontId="0" fillId="2" borderId="10" xfId="0" applyNumberFormat="1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1" fontId="0" fillId="2" borderId="5" xfId="0" applyNumberFormat="1" applyFont="1" applyFill="1" applyBorder="1" applyAlignment="1">
      <alignment horizontal="center"/>
    </xf>
    <xf numFmtId="2" fontId="12" fillId="0" borderId="6" xfId="0" applyNumberFormat="1" applyFont="1" applyBorder="1" applyAlignment="1">
      <alignment horizontal="center" vertical="center"/>
    </xf>
    <xf numFmtId="1" fontId="20" fillId="6" borderId="2" xfId="0" applyNumberFormat="1" applyFont="1" applyFill="1" applyBorder="1" applyAlignment="1">
      <alignment horizontal="center"/>
    </xf>
    <xf numFmtId="1" fontId="25" fillId="6" borderId="2" xfId="0" applyNumberFormat="1" applyFont="1" applyFill="1" applyBorder="1" applyAlignment="1">
      <alignment horizontal="center" vertical="center"/>
    </xf>
    <xf numFmtId="1" fontId="12" fillId="2" borderId="17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0" fontId="20" fillId="0" borderId="5" xfId="0" applyFont="1" applyBorder="1" applyAlignment="1">
      <alignment horizontal="left" vertical="center"/>
    </xf>
    <xf numFmtId="0" fontId="20" fillId="4" borderId="0" xfId="0" applyFont="1" applyFill="1"/>
    <xf numFmtId="1" fontId="20" fillId="4" borderId="2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7" xfId="0" applyBorder="1" applyAlignment="1">
      <alignment horizontal="center"/>
    </xf>
    <xf numFmtId="0" fontId="21" fillId="4" borderId="35" xfId="0" applyFont="1" applyFill="1" applyBorder="1" applyAlignment="1">
      <alignment vertical="center"/>
    </xf>
    <xf numFmtId="1" fontId="23" fillId="2" borderId="17" xfId="0" applyNumberFormat="1" applyFont="1" applyFill="1" applyBorder="1" applyAlignment="1">
      <alignment horizontal="center"/>
    </xf>
    <xf numFmtId="1" fontId="0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3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1" fontId="44" fillId="2" borderId="9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49" fontId="44" fillId="2" borderId="36" xfId="0" applyNumberFormat="1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>
      <alignment horizontal="center" vertical="center" wrapText="1"/>
    </xf>
    <xf numFmtId="1" fontId="0" fillId="4" borderId="3" xfId="0" applyNumberForma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/>
    </xf>
    <xf numFmtId="1" fontId="0" fillId="2" borderId="5" xfId="0" applyNumberFormat="1" applyFont="1" applyFill="1" applyBorder="1" applyAlignment="1">
      <alignment horizontal="center" vertical="center" wrapText="1"/>
    </xf>
    <xf numFmtId="1" fontId="0" fillId="2" borderId="5" xfId="0" applyNumberFormat="1" applyFont="1" applyFill="1" applyBorder="1" applyAlignment="1">
      <alignment horizontal="center" vertical="center"/>
    </xf>
    <xf numFmtId="1" fontId="0" fillId="3" borderId="2" xfId="0" applyNumberFormat="1" applyFont="1" applyFill="1" applyBorder="1" applyAlignment="1">
      <alignment horizontal="center" vertical="center"/>
    </xf>
    <xf numFmtId="1" fontId="20" fillId="4" borderId="5" xfId="0" applyNumberFormat="1" applyFont="1" applyFill="1" applyBorder="1" applyAlignment="1">
      <alignment horizontal="center"/>
    </xf>
    <xf numFmtId="0" fontId="12" fillId="0" borderId="55" xfId="0" applyFont="1" applyBorder="1" applyAlignment="1">
      <alignment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12" fillId="3" borderId="2" xfId="0" applyNumberFormat="1" applyFont="1" applyFill="1" applyBorder="1" applyAlignment="1">
      <alignment horizontal="center" vertical="center"/>
    </xf>
    <xf numFmtId="43" fontId="0" fillId="3" borderId="0" xfId="150" applyFont="1" applyFill="1" applyAlignment="1">
      <alignment horizontal="center"/>
    </xf>
    <xf numFmtId="43" fontId="0" fillId="3" borderId="0" xfId="150" applyFont="1" applyFill="1" applyAlignment="1">
      <alignment horizontal="center" vertical="center"/>
    </xf>
    <xf numFmtId="43" fontId="12" fillId="3" borderId="7" xfId="150" applyFont="1" applyFill="1" applyBorder="1" applyAlignment="1">
      <alignment horizontal="center" vertical="center"/>
    </xf>
    <xf numFmtId="43" fontId="0" fillId="3" borderId="2" xfId="150" applyFont="1" applyFill="1" applyBorder="1" applyAlignment="1">
      <alignment horizontal="center" vertical="center"/>
    </xf>
    <xf numFmtId="43" fontId="0" fillId="3" borderId="0" xfId="150" applyFont="1" applyFill="1"/>
    <xf numFmtId="43" fontId="0" fillId="0" borderId="0" xfId="150" applyFont="1"/>
    <xf numFmtId="43" fontId="12" fillId="3" borderId="2" xfId="150" applyFont="1" applyFill="1" applyBorder="1" applyAlignment="1">
      <alignment horizontal="center" vertical="center" wrapText="1"/>
    </xf>
    <xf numFmtId="43" fontId="12" fillId="3" borderId="2" xfId="150" applyFont="1" applyFill="1" applyBorder="1" applyAlignment="1">
      <alignment horizontal="center"/>
    </xf>
    <xf numFmtId="43" fontId="10" fillId="3" borderId="2" xfId="150" applyFont="1" applyFill="1" applyBorder="1" applyAlignment="1">
      <alignment horizontal="center"/>
    </xf>
    <xf numFmtId="43" fontId="25" fillId="3" borderId="2" xfId="150" applyFont="1" applyFill="1" applyBorder="1" applyAlignment="1">
      <alignment horizontal="center" vertical="center"/>
    </xf>
    <xf numFmtId="43" fontId="26" fillId="3" borderId="2" xfId="150" applyFont="1" applyFill="1" applyBorder="1" applyAlignment="1">
      <alignment horizontal="center" vertical="center"/>
    </xf>
    <xf numFmtId="43" fontId="26" fillId="3" borderId="0" xfId="150" applyFont="1" applyFill="1" applyAlignment="1">
      <alignment horizontal="center" vertical="center"/>
    </xf>
    <xf numFmtId="43" fontId="12" fillId="3" borderId="7" xfId="150" applyFont="1" applyFill="1" applyBorder="1" applyAlignment="1">
      <alignment horizontal="center" vertical="center" wrapText="1"/>
    </xf>
    <xf numFmtId="43" fontId="12" fillId="3" borderId="2" xfId="150" applyFont="1" applyFill="1" applyBorder="1"/>
    <xf numFmtId="43" fontId="12" fillId="3" borderId="0" xfId="150" applyFont="1" applyFill="1"/>
    <xf numFmtId="43" fontId="0" fillId="3" borderId="7" xfId="150" applyFont="1" applyFill="1" applyBorder="1" applyAlignment="1">
      <alignment horizontal="left" vertical="center"/>
    </xf>
    <xf numFmtId="43" fontId="12" fillId="3" borderId="0" xfId="15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43" fontId="12" fillId="3" borderId="50" xfId="15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/>
    </xf>
    <xf numFmtId="2" fontId="0" fillId="0" borderId="10" xfId="0" applyNumberFormat="1" applyFont="1" applyBorder="1" applyAlignment="1">
      <alignment horizontal="center" vertical="center"/>
    </xf>
    <xf numFmtId="0" fontId="0" fillId="3" borderId="38" xfId="0" applyFill="1" applyBorder="1"/>
    <xf numFmtId="164" fontId="12" fillId="3" borderId="38" xfId="0" applyNumberFormat="1" applyFont="1" applyFill="1" applyBorder="1"/>
    <xf numFmtId="165" fontId="12" fillId="3" borderId="2" xfId="150" applyNumberFormat="1" applyFont="1" applyFill="1" applyBorder="1" applyAlignment="1">
      <alignment horizontal="center" vertical="center"/>
    </xf>
    <xf numFmtId="43" fontId="44" fillId="3" borderId="10" xfId="15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2" fontId="23" fillId="2" borderId="17" xfId="0" applyNumberFormat="1" applyFont="1" applyFill="1" applyBorder="1" applyAlignment="1">
      <alignment horizontal="center"/>
    </xf>
    <xf numFmtId="43" fontId="12" fillId="3" borderId="29" xfId="150" applyFont="1" applyFill="1" applyBorder="1" applyAlignment="1">
      <alignment horizontal="center" vertical="center" wrapText="1"/>
    </xf>
    <xf numFmtId="0" fontId="12" fillId="0" borderId="0" xfId="0" applyFont="1" applyFill="1"/>
    <xf numFmtId="1" fontId="0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wrapText="1"/>
    </xf>
    <xf numFmtId="43" fontId="0" fillId="0" borderId="38" xfId="150" applyFont="1" applyFill="1" applyBorder="1" applyAlignment="1">
      <alignment horizontal="center"/>
    </xf>
    <xf numFmtId="43" fontId="12" fillId="0" borderId="38" xfId="150" applyFont="1" applyFill="1" applyBorder="1" applyAlignment="1">
      <alignment horizontal="center" vertical="center"/>
    </xf>
    <xf numFmtId="1" fontId="12" fillId="3" borderId="50" xfId="0" applyNumberFormat="1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0" fillId="0" borderId="0" xfId="0" applyFill="1"/>
    <xf numFmtId="43" fontId="15" fillId="0" borderId="0" xfId="150" applyFont="1" applyFill="1" applyAlignment="1">
      <alignment horizontal="center"/>
    </xf>
    <xf numFmtId="0" fontId="0" fillId="0" borderId="2" xfId="0" applyFont="1" applyFill="1" applyBorder="1"/>
    <xf numFmtId="0" fontId="12" fillId="0" borderId="2" xfId="0" applyFont="1" applyFill="1" applyBorder="1"/>
    <xf numFmtId="43" fontId="10" fillId="0" borderId="38" xfId="150" applyFont="1" applyFill="1" applyBorder="1" applyAlignment="1">
      <alignment horizontal="center" vertical="center"/>
    </xf>
    <xf numFmtId="43" fontId="10" fillId="0" borderId="51" xfId="15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center" textRotation="90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" fontId="0" fillId="2" borderId="2" xfId="0" applyNumberFormat="1" applyFont="1" applyFill="1" applyBorder="1" applyAlignment="1">
      <alignment horizontal="center" vertical="center" wrapText="1"/>
    </xf>
    <xf numFmtId="1" fontId="0" fillId="6" borderId="10" xfId="0" applyNumberFormat="1" applyFont="1" applyFill="1" applyBorder="1" applyAlignment="1">
      <alignment horizontal="center" vertical="center" wrapText="1"/>
    </xf>
    <xf numFmtId="1" fontId="0" fillId="6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21" fillId="4" borderId="40" xfId="0" applyFont="1" applyFill="1" applyBorder="1" applyAlignment="1">
      <alignment vertical="center"/>
    </xf>
    <xf numFmtId="0" fontId="12" fillId="4" borderId="39" xfId="0" applyFont="1" applyFill="1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5" fontId="18" fillId="3" borderId="2" xfId="15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3" fontId="12" fillId="3" borderId="10" xfId="150" applyFont="1" applyFill="1" applyBorder="1" applyAlignment="1">
      <alignment horizontal="center"/>
    </xf>
    <xf numFmtId="43" fontId="12" fillId="0" borderId="0" xfId="150" applyFont="1" applyFill="1" applyAlignment="1">
      <alignment horizontal="center"/>
    </xf>
    <xf numFmtId="43" fontId="0" fillId="0" borderId="0" xfId="150" applyFont="1" applyFill="1"/>
    <xf numFmtId="1" fontId="12" fillId="3" borderId="2" xfId="0" applyNumberFormat="1" applyFont="1" applyFill="1" applyBorder="1" applyAlignment="1">
      <alignment horizontal="center"/>
    </xf>
    <xf numFmtId="49" fontId="12" fillId="3" borderId="2" xfId="0" applyNumberFormat="1" applyFont="1" applyFill="1" applyBorder="1" applyAlignment="1">
      <alignment horizontal="center" vertical="center" wrapText="1"/>
    </xf>
    <xf numFmtId="0" fontId="53" fillId="0" borderId="28" xfId="2" applyFont="1" applyBorder="1" applyAlignment="1">
      <alignment horizontal="left" vertical="center"/>
    </xf>
    <xf numFmtId="0" fontId="53" fillId="0" borderId="12" xfId="2" applyFont="1" applyBorder="1" applyAlignment="1">
      <alignment horizontal="left" vertical="center"/>
    </xf>
    <xf numFmtId="4" fontId="0" fillId="0" borderId="0" xfId="0" applyNumberFormat="1"/>
    <xf numFmtId="0" fontId="0" fillId="3" borderId="0" xfId="0" applyFill="1" applyAlignment="1">
      <alignment horizontal="center"/>
    </xf>
    <xf numFmtId="43" fontId="0" fillId="0" borderId="0" xfId="150" applyFont="1" applyFill="1" applyAlignment="1">
      <alignment horizontal="center"/>
    </xf>
    <xf numFmtId="0" fontId="10" fillId="3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Fill="1" applyAlignment="1">
      <alignment horizontal="center" vertical="center"/>
    </xf>
    <xf numFmtId="43" fontId="12" fillId="0" borderId="0" xfId="150" applyFont="1" applyFill="1"/>
    <xf numFmtId="43" fontId="0" fillId="0" borderId="2" xfId="150" applyFont="1" applyFill="1" applyBorder="1" applyAlignment="1">
      <alignment horizontal="center"/>
    </xf>
    <xf numFmtId="43" fontId="0" fillId="0" borderId="51" xfId="150" applyFont="1" applyFill="1" applyBorder="1" applyAlignment="1">
      <alignment horizontal="center" vertical="center" wrapText="1"/>
    </xf>
    <xf numFmtId="49" fontId="44" fillId="2" borderId="2" xfId="0" applyNumberFormat="1" applyFont="1" applyFill="1" applyBorder="1" applyAlignment="1">
      <alignment horizontal="center" vertical="center" wrapText="1"/>
    </xf>
    <xf numFmtId="43" fontId="12" fillId="3" borderId="2" xfId="15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0" xfId="0" applyFont="1" applyFill="1"/>
    <xf numFmtId="43" fontId="10" fillId="0" borderId="10" xfId="150" applyFont="1" applyFill="1" applyBorder="1" applyAlignment="1">
      <alignment horizontal="center"/>
    </xf>
    <xf numFmtId="43" fontId="10" fillId="0" borderId="2" xfId="15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43" fontId="10" fillId="0" borderId="2" xfId="150" applyFont="1" applyFill="1" applyBorder="1"/>
    <xf numFmtId="43" fontId="10" fillId="0" borderId="0" xfId="150" applyFont="1" applyFill="1"/>
    <xf numFmtId="0" fontId="0" fillId="0" borderId="5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0" fillId="2" borderId="10" xfId="0" applyFont="1" applyFill="1" applyBorder="1" applyAlignment="1">
      <alignment horizontal="center"/>
    </xf>
    <xf numFmtId="0" fontId="12" fillId="34" borderId="2" xfId="0" applyFont="1" applyFill="1" applyBorder="1" applyAlignment="1">
      <alignment horizontal="right" vertical="center"/>
    </xf>
    <xf numFmtId="0" fontId="12" fillId="34" borderId="5" xfId="0" applyFont="1" applyFill="1" applyBorder="1" applyAlignment="1">
      <alignment horizontal="left" vertical="center"/>
    </xf>
    <xf numFmtId="0" fontId="12" fillId="34" borderId="10" xfId="0" applyFont="1" applyFill="1" applyBorder="1" applyAlignment="1">
      <alignment horizontal="center" vertical="center"/>
    </xf>
    <xf numFmtId="1" fontId="12" fillId="34" borderId="2" xfId="0" applyNumberFormat="1" applyFont="1" applyFill="1" applyBorder="1" applyAlignment="1">
      <alignment horizontal="center"/>
    </xf>
    <xf numFmtId="1" fontId="21" fillId="34" borderId="2" xfId="0" applyNumberFormat="1" applyFont="1" applyFill="1" applyBorder="1" applyAlignment="1">
      <alignment horizontal="center"/>
    </xf>
    <xf numFmtId="1" fontId="12" fillId="34" borderId="5" xfId="0" applyNumberFormat="1" applyFont="1" applyFill="1" applyBorder="1" applyAlignment="1">
      <alignment horizontal="center"/>
    </xf>
    <xf numFmtId="1" fontId="24" fillId="34" borderId="17" xfId="0" applyNumberFormat="1" applyFont="1" applyFill="1" applyBorder="1" applyAlignment="1">
      <alignment horizontal="center"/>
    </xf>
    <xf numFmtId="2" fontId="24" fillId="34" borderId="17" xfId="0" applyNumberFormat="1" applyFont="1" applyFill="1" applyBorder="1" applyAlignment="1">
      <alignment horizontal="center"/>
    </xf>
    <xf numFmtId="0" fontId="12" fillId="34" borderId="0" xfId="0" applyFont="1" applyFill="1"/>
    <xf numFmtId="1" fontId="20" fillId="0" borderId="2" xfId="0" applyNumberFormat="1" applyFont="1" applyFill="1" applyBorder="1" applyAlignment="1">
      <alignment horizontal="center"/>
    </xf>
    <xf numFmtId="1" fontId="20" fillId="0" borderId="5" xfId="0" applyNumberFormat="1" applyFont="1" applyFill="1" applyBorder="1" applyAlignment="1">
      <alignment horizontal="center"/>
    </xf>
    <xf numFmtId="43" fontId="0" fillId="3" borderId="2" xfId="150" applyFont="1" applyFill="1" applyBorder="1" applyAlignment="1">
      <alignment horizontal="center" vertical="center" wrapText="1"/>
    </xf>
    <xf numFmtId="1" fontId="12" fillId="34" borderId="6" xfId="0" applyNumberFormat="1" applyFont="1" applyFill="1" applyBorder="1" applyAlignment="1">
      <alignment horizontal="center" vertical="center"/>
    </xf>
    <xf numFmtId="43" fontId="12" fillId="34" borderId="10" xfId="150" applyFont="1" applyFill="1" applyBorder="1" applyAlignment="1">
      <alignment horizontal="center"/>
    </xf>
    <xf numFmtId="2" fontId="12" fillId="34" borderId="6" xfId="0" applyNumberFormat="1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4" fillId="0" borderId="0" xfId="0" applyFont="1" applyBorder="1" applyAlignment="1">
      <alignment horizontal="center" vertical="center"/>
    </xf>
    <xf numFmtId="0" fontId="18" fillId="3" borderId="0" xfId="0" applyFont="1" applyFill="1" applyAlignment="1">
      <alignment horizontal="center"/>
    </xf>
    <xf numFmtId="0" fontId="0" fillId="0" borderId="17" xfId="0" applyFill="1" applyBorder="1" applyAlignment="1">
      <alignment horizontal="center" vertical="center"/>
    </xf>
    <xf numFmtId="0" fontId="56" fillId="0" borderId="1" xfId="0" applyNumberFormat="1" applyFont="1" applyFill="1" applyBorder="1" applyAlignment="1">
      <alignment horizontal="center" vertical="center" wrapText="1"/>
    </xf>
    <xf numFmtId="2" fontId="56" fillId="0" borderId="1" xfId="0" applyNumberFormat="1" applyFont="1" applyFill="1" applyBorder="1" applyAlignment="1">
      <alignment horizontal="center" vertical="center" wrapText="1"/>
    </xf>
    <xf numFmtId="1" fontId="44" fillId="0" borderId="1" xfId="0" applyNumberFormat="1" applyFont="1" applyFill="1" applyBorder="1" applyAlignment="1">
      <alignment horizontal="center" vertical="center" wrapText="1"/>
    </xf>
    <xf numFmtId="0" fontId="45" fillId="2" borderId="7" xfId="2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49" fontId="56" fillId="2" borderId="2" xfId="0" applyNumberFormat="1" applyFont="1" applyFill="1" applyBorder="1" applyAlignment="1">
      <alignment horizontal="center" vertical="center" wrapText="1"/>
    </xf>
    <xf numFmtId="0" fontId="56" fillId="0" borderId="2" xfId="0" applyNumberFormat="1" applyFont="1" applyFill="1" applyBorder="1" applyAlignment="1">
      <alignment horizontal="center" vertical="center" wrapText="1"/>
    </xf>
    <xf numFmtId="0" fontId="0" fillId="30" borderId="2" xfId="0" applyFill="1" applyBorder="1" applyAlignment="1">
      <alignment horizontal="center"/>
    </xf>
    <xf numFmtId="0" fontId="45" fillId="2" borderId="60" xfId="2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 wrapText="1"/>
    </xf>
    <xf numFmtId="49" fontId="56" fillId="2" borderId="1" xfId="0" applyNumberFormat="1" applyFont="1" applyFill="1" applyBorder="1" applyAlignment="1">
      <alignment horizontal="center" vertical="center" wrapText="1"/>
    </xf>
    <xf numFmtId="0" fontId="45" fillId="2" borderId="21" xfId="2" applyFont="1" applyFill="1" applyBorder="1" applyAlignment="1">
      <alignment horizontal="center" vertical="center"/>
    </xf>
    <xf numFmtId="0" fontId="45" fillId="2" borderId="61" xfId="2" applyFont="1" applyFill="1" applyBorder="1" applyAlignment="1">
      <alignment horizontal="left" vertical="center"/>
    </xf>
    <xf numFmtId="0" fontId="46" fillId="0" borderId="28" xfId="0" applyFont="1" applyFill="1" applyBorder="1" applyAlignment="1">
      <alignment horizontal="center" vertical="center" wrapText="1"/>
    </xf>
    <xf numFmtId="49" fontId="56" fillId="2" borderId="28" xfId="0" applyNumberFormat="1" applyFont="1" applyFill="1" applyBorder="1" applyAlignment="1">
      <alignment horizontal="center" vertical="center" wrapText="1"/>
    </xf>
    <xf numFmtId="0" fontId="56" fillId="0" borderId="28" xfId="0" applyNumberFormat="1" applyFont="1" applyFill="1" applyBorder="1" applyAlignment="1">
      <alignment horizontal="center" vertical="center" wrapText="1"/>
    </xf>
    <xf numFmtId="1" fontId="44" fillId="0" borderId="28" xfId="0" applyNumberFormat="1" applyFont="1" applyFill="1" applyBorder="1" applyAlignment="1">
      <alignment horizontal="center" vertical="center" wrapText="1"/>
    </xf>
    <xf numFmtId="1" fontId="44" fillId="0" borderId="2" xfId="0" applyNumberFormat="1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/>
    </xf>
    <xf numFmtId="1" fontId="0" fillId="30" borderId="22" xfId="0" applyNumberFormat="1" applyFill="1" applyBorder="1" applyAlignment="1">
      <alignment horizontal="center"/>
    </xf>
    <xf numFmtId="0" fontId="46" fillId="2" borderId="35" xfId="0" applyFont="1" applyFill="1" applyBorder="1" applyAlignment="1">
      <alignment vertical="center"/>
    </xf>
    <xf numFmtId="0" fontId="51" fillId="2" borderId="40" xfId="0" applyFont="1" applyFill="1" applyBorder="1" applyAlignment="1">
      <alignment vertical="center"/>
    </xf>
    <xf numFmtId="1" fontId="56" fillId="0" borderId="2" xfId="0" applyNumberFormat="1" applyFont="1" applyFill="1" applyBorder="1" applyAlignment="1">
      <alignment horizontal="center" vertical="center" wrapText="1"/>
    </xf>
    <xf numFmtId="1" fontId="56" fillId="0" borderId="1" xfId="0" applyNumberFormat="1" applyFont="1" applyFill="1" applyBorder="1" applyAlignment="1">
      <alignment horizontal="center" vertical="center" wrapText="1"/>
    </xf>
    <xf numFmtId="1" fontId="56" fillId="0" borderId="28" xfId="0" applyNumberFormat="1" applyFont="1" applyFill="1" applyBorder="1" applyAlignment="1">
      <alignment horizontal="center" vertical="center" wrapText="1"/>
    </xf>
    <xf numFmtId="43" fontId="12" fillId="3" borderId="2" xfId="150" applyFont="1" applyFill="1" applyBorder="1" applyAlignment="1">
      <alignment horizontal="center" vertical="center"/>
    </xf>
    <xf numFmtId="0" fontId="45" fillId="0" borderId="28" xfId="2" applyFont="1" applyBorder="1" applyAlignment="1">
      <alignment horizontal="left" vertical="center"/>
    </xf>
    <xf numFmtId="0" fontId="45" fillId="0" borderId="12" xfId="2" applyFont="1" applyBorder="1" applyAlignment="1">
      <alignment horizontal="left" vertical="center"/>
    </xf>
    <xf numFmtId="0" fontId="48" fillId="4" borderId="2" xfId="0" applyFont="1" applyFill="1" applyBorder="1" applyAlignment="1">
      <alignment vertical="center"/>
    </xf>
    <xf numFmtId="0" fontId="50" fillId="0" borderId="0" xfId="161" applyFont="1" applyAlignment="1">
      <alignment horizontal="center"/>
    </xf>
    <xf numFmtId="0" fontId="1" fillId="0" borderId="0" xfId="161"/>
    <xf numFmtId="0" fontId="0" fillId="0" borderId="0" xfId="161" applyFont="1"/>
    <xf numFmtId="4" fontId="1" fillId="0" borderId="0" xfId="161" applyNumberFormat="1"/>
    <xf numFmtId="0" fontId="1" fillId="0" borderId="0" xfId="161" applyAlignment="1">
      <alignment wrapText="1"/>
    </xf>
    <xf numFmtId="0" fontId="52" fillId="0" borderId="0" xfId="161" applyFont="1"/>
    <xf numFmtId="0" fontId="1" fillId="0" borderId="0" xfId="161" applyFont="1"/>
    <xf numFmtId="0" fontId="0" fillId="3" borderId="0" xfId="161" applyFont="1" applyFill="1" applyAlignment="1">
      <alignment horizontal="center"/>
    </xf>
    <xf numFmtId="14" fontId="0" fillId="0" borderId="0" xfId="161" applyNumberFormat="1" applyFont="1" applyAlignment="1">
      <alignment horizontal="right"/>
    </xf>
    <xf numFmtId="0" fontId="49" fillId="0" borderId="26" xfId="161" applyFont="1" applyBorder="1" applyAlignment="1">
      <alignment horizontal="center" vertical="center" wrapText="1"/>
    </xf>
    <xf numFmtId="0" fontId="49" fillId="0" borderId="22" xfId="161" applyFont="1" applyBorder="1" applyAlignment="1">
      <alignment horizontal="center" vertical="center" wrapText="1"/>
    </xf>
    <xf numFmtId="0" fontId="49" fillId="32" borderId="22" xfId="161" applyFont="1" applyFill="1" applyBorder="1" applyAlignment="1">
      <alignment horizontal="center" vertical="top" wrapText="1"/>
    </xf>
    <xf numFmtId="0" fontId="49" fillId="3" borderId="22" xfId="161" applyFont="1" applyFill="1" applyBorder="1" applyAlignment="1">
      <alignment horizontal="center" vertical="top" wrapText="1"/>
    </xf>
    <xf numFmtId="0" fontId="49" fillId="0" borderId="22" xfId="161" applyFont="1" applyBorder="1" applyAlignment="1">
      <alignment horizontal="center" vertical="top" wrapText="1"/>
    </xf>
    <xf numFmtId="166" fontId="49" fillId="0" borderId="22" xfId="161" applyNumberFormat="1" applyFont="1" applyBorder="1" applyAlignment="1">
      <alignment horizontal="center" vertical="top" wrapText="1"/>
    </xf>
    <xf numFmtId="4" fontId="49" fillId="0" borderId="22" xfId="161" applyNumberFormat="1" applyFont="1" applyBorder="1" applyAlignment="1">
      <alignment horizontal="center" vertical="top" wrapText="1"/>
    </xf>
    <xf numFmtId="0" fontId="57" fillId="0" borderId="24" xfId="161" applyFont="1" applyBorder="1" applyAlignment="1">
      <alignment horizontal="center" vertical="center" wrapText="1"/>
    </xf>
    <xf numFmtId="0" fontId="18" fillId="0" borderId="0" xfId="161" applyFont="1" applyAlignment="1">
      <alignment horizontal="center" vertical="center" wrapText="1"/>
    </xf>
    <xf numFmtId="0" fontId="58" fillId="3" borderId="1" xfId="161" applyFont="1" applyFill="1" applyBorder="1" applyAlignment="1">
      <alignment horizontal="center" vertical="center"/>
    </xf>
    <xf numFmtId="4" fontId="49" fillId="33" borderId="2" xfId="161" applyNumberFormat="1" applyFont="1" applyFill="1" applyBorder="1" applyAlignment="1">
      <alignment horizontal="center" vertical="center" wrapText="1"/>
    </xf>
    <xf numFmtId="0" fontId="0" fillId="33" borderId="2" xfId="161" applyFont="1" applyFill="1" applyBorder="1" applyAlignment="1">
      <alignment horizontal="center" vertical="center"/>
    </xf>
    <xf numFmtId="4" fontId="49" fillId="31" borderId="2" xfId="161" applyNumberFormat="1" applyFont="1" applyFill="1" applyBorder="1" applyAlignment="1">
      <alignment horizontal="center" vertical="center" wrapText="1"/>
    </xf>
    <xf numFmtId="0" fontId="0" fillId="31" borderId="2" xfId="161" applyFont="1" applyFill="1" applyBorder="1" applyAlignment="1">
      <alignment horizontal="center" vertical="center"/>
    </xf>
    <xf numFmtId="0" fontId="0" fillId="34" borderId="2" xfId="161" applyFont="1" applyFill="1" applyBorder="1" applyAlignment="1">
      <alignment horizontal="center" vertical="center"/>
    </xf>
    <xf numFmtId="4" fontId="57" fillId="0" borderId="24" xfId="161" applyNumberFormat="1" applyFont="1" applyBorder="1" applyAlignment="1">
      <alignment horizontal="center" vertical="center" wrapText="1"/>
    </xf>
    <xf numFmtId="0" fontId="49" fillId="0" borderId="28" xfId="161" applyFont="1" applyBorder="1" applyAlignment="1">
      <alignment horizontal="center" vertical="center" wrapText="1"/>
    </xf>
    <xf numFmtId="0" fontId="46" fillId="0" borderId="28" xfId="161" applyFont="1" applyBorder="1" applyAlignment="1">
      <alignment horizontal="center" vertical="center"/>
    </xf>
    <xf numFmtId="166" fontId="46" fillId="0" borderId="28" xfId="161" applyNumberFormat="1" applyFont="1" applyBorder="1" applyAlignment="1">
      <alignment horizontal="center" vertical="center"/>
    </xf>
    <xf numFmtId="0" fontId="1" fillId="0" borderId="2" xfId="161" applyBorder="1"/>
    <xf numFmtId="0" fontId="1" fillId="36" borderId="2" xfId="161" applyFill="1" applyBorder="1"/>
    <xf numFmtId="0" fontId="49" fillId="0" borderId="12" xfId="161" applyFont="1" applyBorder="1" applyAlignment="1">
      <alignment horizontal="center" vertical="center" wrapText="1"/>
    </xf>
    <xf numFmtId="0" fontId="51" fillId="0" borderId="12" xfId="161" applyFont="1" applyBorder="1" applyAlignment="1">
      <alignment horizontal="center" vertical="center" wrapText="1"/>
    </xf>
    <xf numFmtId="0" fontId="49" fillId="0" borderId="12" xfId="161" applyFont="1" applyBorder="1" applyAlignment="1">
      <alignment horizontal="center" vertical="center"/>
    </xf>
    <xf numFmtId="166" fontId="46" fillId="0" borderId="12" xfId="161" applyNumberFormat="1" applyFont="1" applyBorder="1" applyAlignment="1">
      <alignment horizontal="center" vertical="center"/>
    </xf>
    <xf numFmtId="0" fontId="49" fillId="0" borderId="28" xfId="161" applyFont="1" applyBorder="1" applyAlignment="1">
      <alignment horizontal="center" vertical="center"/>
    </xf>
    <xf numFmtId="0" fontId="51" fillId="34" borderId="28" xfId="161" applyFont="1" applyFill="1" applyBorder="1" applyAlignment="1">
      <alignment horizontal="center" vertical="center" wrapText="1"/>
    </xf>
    <xf numFmtId="0" fontId="49" fillId="34" borderId="28" xfId="16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43" fontId="10" fillId="3" borderId="2" xfId="15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43" fontId="10" fillId="0" borderId="2" xfId="150" applyFont="1" applyFill="1" applyBorder="1" applyAlignment="1">
      <alignment horizontal="center" vertical="center" wrapText="1"/>
    </xf>
    <xf numFmtId="43" fontId="10" fillId="0" borderId="0" xfId="150" applyFont="1" applyFill="1" applyBorder="1"/>
    <xf numFmtId="0" fontId="0" fillId="0" borderId="0" xfId="0" applyFont="1" applyFill="1" applyAlignment="1">
      <alignment horizontal="center"/>
    </xf>
    <xf numFmtId="49" fontId="0" fillId="2" borderId="9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" fontId="0" fillId="31" borderId="35" xfId="0" applyNumberFormat="1" applyFont="1" applyFill="1" applyBorder="1" applyAlignment="1">
      <alignment horizontal="center" vertical="center"/>
    </xf>
    <xf numFmtId="4" fontId="12" fillId="31" borderId="35" xfId="0" applyNumberFormat="1" applyFont="1" applyFill="1" applyBorder="1" applyAlignment="1">
      <alignment horizontal="center" vertical="center"/>
    </xf>
    <xf numFmtId="1" fontId="12" fillId="3" borderId="6" xfId="0" applyNumberFormat="1" applyFont="1" applyFill="1" applyBorder="1" applyAlignment="1">
      <alignment horizontal="center"/>
    </xf>
    <xf numFmtId="43" fontId="12" fillId="37" borderId="2" xfId="150" applyFont="1" applyFill="1" applyBorder="1" applyAlignment="1">
      <alignment horizontal="center" vertical="center" wrapText="1"/>
    </xf>
    <xf numFmtId="1" fontId="10" fillId="37" borderId="2" xfId="150" applyNumberFormat="1" applyFont="1" applyFill="1" applyBorder="1" applyAlignment="1">
      <alignment horizontal="center"/>
    </xf>
    <xf numFmtId="49" fontId="12" fillId="35" borderId="2" xfId="0" applyNumberFormat="1" applyFont="1" applyFill="1" applyBorder="1" applyAlignment="1">
      <alignment horizontal="center" vertical="center" wrapText="1"/>
    </xf>
    <xf numFmtId="1" fontId="0" fillId="35" borderId="2" xfId="0" applyNumberFormat="1" applyFont="1" applyFill="1" applyBorder="1" applyAlignment="1">
      <alignment horizontal="center"/>
    </xf>
    <xf numFmtId="1" fontId="12" fillId="35" borderId="2" xfId="0" applyNumberFormat="1" applyFont="1" applyFill="1" applyBorder="1" applyAlignment="1">
      <alignment horizontal="center"/>
    </xf>
    <xf numFmtId="43" fontId="12" fillId="30" borderId="2" xfId="150" applyFont="1" applyFill="1" applyBorder="1" applyAlignment="1">
      <alignment horizontal="center" vertical="center" wrapText="1"/>
    </xf>
    <xf numFmtId="43" fontId="10" fillId="30" borderId="2" xfId="150" applyFont="1" applyFill="1" applyBorder="1" applyAlignment="1">
      <alignment horizontal="center"/>
    </xf>
    <xf numFmtId="43" fontId="12" fillId="30" borderId="2" xfId="150" applyFont="1" applyFill="1" applyBorder="1" applyAlignment="1">
      <alignment horizontal="center"/>
    </xf>
    <xf numFmtId="43" fontId="12" fillId="5" borderId="2" xfId="150" applyFont="1" applyFill="1" applyBorder="1" applyAlignment="1">
      <alignment horizontal="center" vertical="center" wrapText="1"/>
    </xf>
    <xf numFmtId="43" fontId="10" fillId="5" borderId="2" xfId="150" applyFont="1" applyFill="1" applyBorder="1" applyAlignment="1">
      <alignment horizontal="center"/>
    </xf>
    <xf numFmtId="43" fontId="12" fillId="5" borderId="2" xfId="150" applyFont="1" applyFill="1" applyBorder="1" applyAlignment="1">
      <alignment horizontal="center"/>
    </xf>
    <xf numFmtId="0" fontId="12" fillId="35" borderId="5" xfId="0" applyFont="1" applyFill="1" applyBorder="1" applyAlignment="1">
      <alignment horizontal="center" vertical="center" wrapText="1"/>
    </xf>
    <xf numFmtId="1" fontId="20" fillId="5" borderId="2" xfId="0" applyNumberFormat="1" applyFont="1" applyFill="1" applyBorder="1" applyAlignment="1">
      <alignment horizontal="center" vertical="center" wrapText="1"/>
    </xf>
    <xf numFmtId="1" fontId="47" fillId="5" borderId="2" xfId="0" applyNumberFormat="1" applyFont="1" applyFill="1" applyBorder="1" applyAlignment="1">
      <alignment horizontal="center" vertical="center" wrapText="1"/>
    </xf>
    <xf numFmtId="49" fontId="20" fillId="5" borderId="2" xfId="0" applyNumberFormat="1" applyFont="1" applyFill="1" applyBorder="1" applyAlignment="1">
      <alignment horizontal="center" vertical="center" wrapText="1"/>
    </xf>
    <xf numFmtId="49" fontId="20" fillId="5" borderId="17" xfId="0" applyNumberFormat="1" applyFont="1" applyFill="1" applyBorder="1" applyAlignment="1">
      <alignment horizontal="center" vertical="center" wrapText="1"/>
    </xf>
    <xf numFmtId="49" fontId="20" fillId="5" borderId="17" xfId="0" applyNumberFormat="1" applyFont="1" applyFill="1" applyBorder="1" applyAlignment="1">
      <alignment horizontal="center" vertical="center" textRotation="90" wrapText="1"/>
    </xf>
    <xf numFmtId="49" fontId="20" fillId="30" borderId="2" xfId="0" applyNumberFormat="1" applyFont="1" applyFill="1" applyBorder="1" applyAlignment="1">
      <alignment horizontal="center" vertical="center" wrapText="1"/>
    </xf>
    <xf numFmtId="49" fontId="20" fillId="30" borderId="17" xfId="0" applyNumberFormat="1" applyFont="1" applyFill="1" applyBorder="1" applyAlignment="1">
      <alignment horizontal="center" vertical="center" wrapText="1"/>
    </xf>
    <xf numFmtId="49" fontId="0" fillId="30" borderId="5" xfId="0" applyNumberFormat="1" applyFill="1" applyBorder="1" applyAlignment="1">
      <alignment horizontal="center" vertical="center" wrapText="1"/>
    </xf>
    <xf numFmtId="49" fontId="0" fillId="30" borderId="5" xfId="0" applyNumberFormat="1" applyFont="1" applyFill="1" applyBorder="1" applyAlignment="1">
      <alignment horizontal="center" vertical="center" textRotation="90" wrapText="1"/>
    </xf>
    <xf numFmtId="49" fontId="12" fillId="37" borderId="2" xfId="0" applyNumberFormat="1" applyFont="1" applyFill="1" applyBorder="1" applyAlignment="1">
      <alignment horizontal="center" vertical="center" wrapText="1"/>
    </xf>
    <xf numFmtId="43" fontId="0" fillId="3" borderId="10" xfId="150" applyFon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20" fillId="37" borderId="2" xfId="0" applyNumberFormat="1" applyFont="1" applyFill="1" applyBorder="1" applyAlignment="1">
      <alignment horizontal="center" vertical="center" wrapText="1"/>
    </xf>
    <xf numFmtId="1" fontId="12" fillId="37" borderId="2" xfId="0" applyNumberFormat="1" applyFont="1" applyFill="1" applyBorder="1" applyAlignment="1">
      <alignment horizontal="center"/>
    </xf>
    <xf numFmtId="1" fontId="12" fillId="6" borderId="2" xfId="0" applyNumberFormat="1" applyFont="1" applyFill="1" applyBorder="1" applyAlignment="1">
      <alignment horizontal="center" vertical="center"/>
    </xf>
    <xf numFmtId="43" fontId="12" fillId="4" borderId="2" xfId="150" applyFont="1" applyFill="1" applyBorder="1" applyAlignment="1">
      <alignment horizontal="center" vertical="center" wrapText="1"/>
    </xf>
    <xf numFmtId="43" fontId="0" fillId="0" borderId="0" xfId="150" applyFont="1" applyFill="1" applyAlignment="1">
      <alignment horizontal="right" vertical="center"/>
    </xf>
    <xf numFmtId="1" fontId="0" fillId="5" borderId="2" xfId="0" applyNumberFormat="1" applyFont="1" applyFill="1" applyBorder="1" applyAlignment="1">
      <alignment horizontal="center" vertical="center" wrapText="1"/>
    </xf>
    <xf numFmtId="1" fontId="0" fillId="5" borderId="7" xfId="0" applyNumberFormat="1" applyFont="1" applyFill="1" applyBorder="1" applyAlignment="1">
      <alignment horizontal="center" vertical="center" wrapText="1"/>
    </xf>
    <xf numFmtId="49" fontId="0" fillId="5" borderId="5" xfId="0" applyNumberFormat="1" applyFont="1" applyFill="1" applyBorder="1" applyAlignment="1">
      <alignment horizontal="center" vertical="center" textRotation="90" wrapText="1"/>
    </xf>
    <xf numFmtId="0" fontId="0" fillId="33" borderId="0" xfId="0" applyFill="1" applyAlignment="1">
      <alignment horizontal="center"/>
    </xf>
    <xf numFmtId="4" fontId="12" fillId="3" borderId="38" xfId="0" applyNumberFormat="1" applyFont="1" applyFill="1" applyBorder="1" applyAlignment="1">
      <alignment horizontal="center" vertical="center"/>
    </xf>
    <xf numFmtId="49" fontId="0" fillId="0" borderId="20" xfId="0" applyNumberFormat="1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left" vertical="center"/>
    </xf>
    <xf numFmtId="3" fontId="12" fillId="0" borderId="0" xfId="0" applyNumberFormat="1" applyFont="1"/>
    <xf numFmtId="49" fontId="12" fillId="5" borderId="2" xfId="0" applyNumberFormat="1" applyFont="1" applyFill="1" applyBorder="1" applyAlignment="1">
      <alignment horizontal="center" vertical="center" wrapText="1"/>
    </xf>
    <xf numFmtId="49" fontId="12" fillId="30" borderId="2" xfId="0" applyNumberFormat="1" applyFont="1" applyFill="1" applyBorder="1" applyAlignment="1">
      <alignment horizontal="center" vertical="center" wrapText="1"/>
    </xf>
    <xf numFmtId="49" fontId="0" fillId="37" borderId="2" xfId="0" applyNumberFormat="1" applyFont="1" applyFill="1" applyBorder="1" applyAlignment="1">
      <alignment horizontal="center" vertical="center" wrapText="1"/>
    </xf>
    <xf numFmtId="43" fontId="12" fillId="3" borderId="2" xfId="15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3" fontId="12" fillId="3" borderId="2" xfId="15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3" fontId="58" fillId="38" borderId="24" xfId="160" applyNumberFormat="1" applyFont="1" applyBorder="1" applyAlignment="1">
      <alignment horizontal="center" vertical="center" wrapText="1"/>
    </xf>
    <xf numFmtId="43" fontId="58" fillId="38" borderId="58" xfId="160" applyNumberFormat="1" applyFont="1" applyBorder="1" applyAlignment="1">
      <alignment horizontal="center" vertical="center" wrapText="1"/>
    </xf>
    <xf numFmtId="43" fontId="58" fillId="38" borderId="59" xfId="160" applyNumberFormat="1" applyFont="1" applyBorder="1" applyAlignment="1">
      <alignment horizontal="center" vertical="center" wrapText="1"/>
    </xf>
    <xf numFmtId="43" fontId="58" fillId="38" borderId="2" xfId="160" applyNumberFormat="1" applyFont="1" applyBorder="1" applyAlignment="1">
      <alignment horizontal="center" vertical="center" wrapText="1"/>
    </xf>
    <xf numFmtId="43" fontId="58" fillId="38" borderId="1" xfId="160" applyNumberFormat="1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49" fontId="56" fillId="2" borderId="1" xfId="0" applyNumberFormat="1" applyFont="1" applyFill="1" applyBorder="1" applyAlignment="1">
      <alignment horizontal="center" vertical="center" wrapText="1"/>
    </xf>
    <xf numFmtId="49" fontId="56" fillId="2" borderId="18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/>
    </xf>
    <xf numFmtId="0" fontId="0" fillId="30" borderId="1" xfId="0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56" xfId="0" applyBorder="1" applyAlignment="1">
      <alignment horizontal="center" vertical="center" textRotation="90" wrapText="1"/>
    </xf>
    <xf numFmtId="0" fontId="0" fillId="0" borderId="51" xfId="0" applyBorder="1" applyAlignment="1">
      <alignment horizontal="center" vertical="center" textRotation="90" wrapText="1"/>
    </xf>
    <xf numFmtId="0" fontId="0" fillId="0" borderId="55" xfId="0" applyBorder="1" applyAlignment="1">
      <alignment horizontal="center" vertical="center" textRotation="90" wrapText="1"/>
    </xf>
    <xf numFmtId="0" fontId="0" fillId="0" borderId="54" xfId="0" applyBorder="1" applyAlignment="1">
      <alignment horizontal="center" vertical="center" textRotation="90" wrapText="1"/>
    </xf>
    <xf numFmtId="0" fontId="12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3" fontId="12" fillId="4" borderId="5" xfId="150" applyFont="1" applyFill="1" applyBorder="1" applyAlignment="1">
      <alignment horizontal="center" vertical="center" wrapText="1"/>
    </xf>
    <xf numFmtId="43" fontId="12" fillId="4" borderId="10" xfId="150" applyFont="1" applyFill="1" applyBorder="1" applyAlignment="1">
      <alignment horizontal="center" vertical="center" wrapText="1"/>
    </xf>
    <xf numFmtId="43" fontId="12" fillId="4" borderId="17" xfId="15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7" borderId="2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12" fillId="31" borderId="26" xfId="0" applyFont="1" applyFill="1" applyBorder="1" applyAlignment="1">
      <alignment horizontal="center" vertical="center" wrapText="1"/>
    </xf>
    <xf numFmtId="0" fontId="12" fillId="31" borderId="16" xfId="0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49" fontId="0" fillId="2" borderId="25" xfId="0" applyNumberFormat="1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2" fillId="30" borderId="2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12" fillId="0" borderId="53" xfId="0" applyFont="1" applyBorder="1" applyAlignment="1">
      <alignment horizontal="center" vertical="center" wrapText="1"/>
    </xf>
    <xf numFmtId="0" fontId="50" fillId="0" borderId="0" xfId="161" applyFont="1" applyAlignment="1">
      <alignment horizontal="center"/>
    </xf>
    <xf numFmtId="0" fontId="0" fillId="0" borderId="0" xfId="161" applyFont="1" applyAlignment="1">
      <alignment horizontal="center" wrapText="1"/>
    </xf>
    <xf numFmtId="0" fontId="18" fillId="0" borderId="27" xfId="161" applyFont="1" applyBorder="1" applyAlignment="1">
      <alignment horizontal="center" vertical="center" wrapText="1"/>
    </xf>
    <xf numFmtId="0" fontId="18" fillId="0" borderId="14" xfId="161" applyFont="1" applyBorder="1" applyAlignment="1">
      <alignment horizontal="center" vertical="center" wrapText="1"/>
    </xf>
    <xf numFmtId="4" fontId="18" fillId="0" borderId="27" xfId="161" applyNumberFormat="1" applyFont="1" applyBorder="1" applyAlignment="1">
      <alignment horizontal="center" vertical="center" wrapText="1"/>
    </xf>
    <xf numFmtId="0" fontId="1" fillId="0" borderId="56" xfId="161" applyBorder="1" applyAlignment="1">
      <alignment horizontal="center" wrapText="1"/>
    </xf>
    <xf numFmtId="4" fontId="18" fillId="0" borderId="14" xfId="161" applyNumberFormat="1" applyFont="1" applyBorder="1" applyAlignment="1">
      <alignment horizontal="center" vertical="center" wrapText="1"/>
    </xf>
    <xf numFmtId="0" fontId="1" fillId="0" borderId="62" xfId="161" applyBorder="1" applyAlignment="1">
      <alignment horizontal="center" wrapText="1"/>
    </xf>
    <xf numFmtId="0" fontId="45" fillId="0" borderId="21" xfId="2" applyFont="1" applyBorder="1" applyAlignment="1">
      <alignment horizontal="center" vertical="center"/>
    </xf>
    <xf numFmtId="0" fontId="45" fillId="0" borderId="8" xfId="2" applyFont="1" applyBorder="1" applyAlignment="1">
      <alignment horizontal="center" vertical="center"/>
    </xf>
  </cellXfs>
  <cellStyles count="162">
    <cellStyle name="20% - Акцент1 2" xfId="7"/>
    <cellStyle name="20% - Акцент1 3" xfId="59"/>
    <cellStyle name="20% - Акцент1 4" xfId="105"/>
    <cellStyle name="20% - Акцент2 2" xfId="8"/>
    <cellStyle name="20% - Акцент2 3" xfId="60"/>
    <cellStyle name="20% - Акцент2 4" xfId="106"/>
    <cellStyle name="20% - Акцент3 2" xfId="9"/>
    <cellStyle name="20% - Акцент3 3" xfId="61"/>
    <cellStyle name="20% - Акцент3 4" xfId="107"/>
    <cellStyle name="20% - Акцент4 2" xfId="10"/>
    <cellStyle name="20% - Акцент4 3" xfId="62"/>
    <cellStyle name="20% - Акцент4 4" xfId="108"/>
    <cellStyle name="20% - Акцент5 2" xfId="11"/>
    <cellStyle name="20% - Акцент5 3" xfId="63"/>
    <cellStyle name="20% - Акцент5 4" xfId="109"/>
    <cellStyle name="20% - Акцент6 2" xfId="12"/>
    <cellStyle name="20% - Акцент6 3" xfId="64"/>
    <cellStyle name="20% - Акцент6 4" xfId="110"/>
    <cellStyle name="40% - Акцент1 2" xfId="13"/>
    <cellStyle name="40% - Акцент1 3" xfId="65"/>
    <cellStyle name="40% - Акцент1 4" xfId="111"/>
    <cellStyle name="40% - Акцент2 2" xfId="14"/>
    <cellStyle name="40% - Акцент2 3" xfId="66"/>
    <cellStyle name="40% - Акцент2 4" xfId="112"/>
    <cellStyle name="40% - Акцент3 2" xfId="15"/>
    <cellStyle name="40% - Акцент3 3" xfId="67"/>
    <cellStyle name="40% - Акцент3 4" xfId="113"/>
    <cellStyle name="40% - Акцент4 2" xfId="16"/>
    <cellStyle name="40% - Акцент4 3" xfId="68"/>
    <cellStyle name="40% - Акцент4 4" xfId="114"/>
    <cellStyle name="40% - Акцент5 2" xfId="17"/>
    <cellStyle name="40% - Акцент5 3" xfId="69"/>
    <cellStyle name="40% - Акцент5 4" xfId="115"/>
    <cellStyle name="40% - Акцент6 2" xfId="18"/>
    <cellStyle name="40% - Акцент6 3" xfId="70"/>
    <cellStyle name="40% - Акцент6 4" xfId="116"/>
    <cellStyle name="60% - Акцент1 2" xfId="19"/>
    <cellStyle name="60% - Акцент1 3" xfId="71"/>
    <cellStyle name="60% - Акцент1 4" xfId="117"/>
    <cellStyle name="60% - Акцент2 2" xfId="20"/>
    <cellStyle name="60% - Акцент2 3" xfId="72"/>
    <cellStyle name="60% - Акцент2 4" xfId="118"/>
    <cellStyle name="60% - Акцент3 2" xfId="21"/>
    <cellStyle name="60% - Акцент3 3" xfId="73"/>
    <cellStyle name="60% - Акцент3 4" xfId="119"/>
    <cellStyle name="60% - Акцент4 2" xfId="22"/>
    <cellStyle name="60% - Акцент4 3" xfId="74"/>
    <cellStyle name="60% - Акцент4 4" xfId="120"/>
    <cellStyle name="60% - Акцент5 2" xfId="23"/>
    <cellStyle name="60% - Акцент5 3" xfId="75"/>
    <cellStyle name="60% - Акцент5 4" xfId="121"/>
    <cellStyle name="60% - Акцент6 2" xfId="24"/>
    <cellStyle name="60% - Акцент6 3" xfId="76"/>
    <cellStyle name="60% - Акцент6 4" xfId="122"/>
    <cellStyle name="Excel Built-in Normal" xfId="25"/>
    <cellStyle name="Excel Built-in Normal 2" xfId="26"/>
    <cellStyle name="Excel Built-in Normal_Таблица для заполнения" xfId="27"/>
    <cellStyle name="Акцент1 2" xfId="28"/>
    <cellStyle name="Акцент1 3" xfId="77"/>
    <cellStyle name="Акцент1 4" xfId="123"/>
    <cellStyle name="Акцент2 2" xfId="29"/>
    <cellStyle name="Акцент2 3" xfId="78"/>
    <cellStyle name="Акцент2 4" xfId="124"/>
    <cellStyle name="Акцент3 2" xfId="30"/>
    <cellStyle name="Акцент3 3" xfId="79"/>
    <cellStyle name="Акцент3 4" xfId="125"/>
    <cellStyle name="Акцент4 2" xfId="31"/>
    <cellStyle name="Акцент4 3" xfId="80"/>
    <cellStyle name="Акцент4 4" xfId="126"/>
    <cellStyle name="Акцент5 2" xfId="32"/>
    <cellStyle name="Акцент5 3" xfId="81"/>
    <cellStyle name="Акцент5 4" xfId="127"/>
    <cellStyle name="Акцент6 2" xfId="33"/>
    <cellStyle name="Акцент6 3" xfId="82"/>
    <cellStyle name="Акцент6 4" xfId="128"/>
    <cellStyle name="Ввод  2" xfId="34"/>
    <cellStyle name="Ввод  3" xfId="83"/>
    <cellStyle name="Ввод  4" xfId="129"/>
    <cellStyle name="Вывод 2" xfId="35"/>
    <cellStyle name="Вывод 3" xfId="84"/>
    <cellStyle name="Вывод 4" xfId="130"/>
    <cellStyle name="Вычисление 2" xfId="36"/>
    <cellStyle name="Вычисление 3" xfId="85"/>
    <cellStyle name="Вычисление 4" xfId="131"/>
    <cellStyle name="Заголовок 1 2" xfId="37"/>
    <cellStyle name="Заголовок 1 3" xfId="86"/>
    <cellStyle name="Заголовок 1 4" xfId="132"/>
    <cellStyle name="Заголовок 2 2" xfId="38"/>
    <cellStyle name="Заголовок 2 3" xfId="87"/>
    <cellStyle name="Заголовок 2 4" xfId="133"/>
    <cellStyle name="Заголовок 3 2" xfId="39"/>
    <cellStyle name="Заголовок 3 3" xfId="88"/>
    <cellStyle name="Заголовок 3 4" xfId="134"/>
    <cellStyle name="Заголовок 4 2" xfId="40"/>
    <cellStyle name="Заголовок 4 3" xfId="89"/>
    <cellStyle name="Заголовок 4 4" xfId="135"/>
    <cellStyle name="Итог 2" xfId="41"/>
    <cellStyle name="Итог 3" xfId="90"/>
    <cellStyle name="Итог 4" xfId="136"/>
    <cellStyle name="Контрольная ячейка 2" xfId="42"/>
    <cellStyle name="Контрольная ячейка 3" xfId="91"/>
    <cellStyle name="Контрольная ячейка 4" xfId="137"/>
    <cellStyle name="Название 2" xfId="43"/>
    <cellStyle name="Название 3" xfId="92"/>
    <cellStyle name="Название 4" xfId="138"/>
    <cellStyle name="Нейтральный 2" xfId="44"/>
    <cellStyle name="Нейтральный 3" xfId="93"/>
    <cellStyle name="Нейтральный 4" xfId="139"/>
    <cellStyle name="Обычный" xfId="0" builtinId="0"/>
    <cellStyle name="Обычный 10" xfId="152"/>
    <cellStyle name="Обычный 11" xfId="153"/>
    <cellStyle name="Обычный 12" xfId="157"/>
    <cellStyle name="Обычный 2" xfId="1"/>
    <cellStyle name="Обычный 2 2" xfId="2"/>
    <cellStyle name="Обычный 2 2 2" xfId="45"/>
    <cellStyle name="Обычный 2 2 3" xfId="94"/>
    <cellStyle name="Обычный 2 2 4" xfId="140"/>
    <cellStyle name="Обычный 2_Книга1" xfId="5"/>
    <cellStyle name="Обычный 3" xfId="3"/>
    <cellStyle name="Обычный 3 2" xfId="46"/>
    <cellStyle name="Обычный 3 3" xfId="95"/>
    <cellStyle name="Обычный 3 4" xfId="141"/>
    <cellStyle name="Обычный 3_по гр.013-11" xfId="4"/>
    <cellStyle name="Обычный 4" xfId="6"/>
    <cellStyle name="Обычный 4 2" xfId="47"/>
    <cellStyle name="Обычный 4 2 2" xfId="48"/>
    <cellStyle name="Обычный 4 2 3" xfId="97"/>
    <cellStyle name="Обычный 4 2 4" xfId="143"/>
    <cellStyle name="Обычный 4 3" xfId="96"/>
    <cellStyle name="Обычный 4 4" xfId="142"/>
    <cellStyle name="Обычный 4 5" xfId="155"/>
    <cellStyle name="Обычный 4 5 2" xfId="159"/>
    <cellStyle name="Обычный 5" xfId="49"/>
    <cellStyle name="Обычный 6" xfId="50"/>
    <cellStyle name="Обычный 7" xfId="58"/>
    <cellStyle name="Обычный 8" xfId="104"/>
    <cellStyle name="Обычный 9" xfId="151"/>
    <cellStyle name="Обычный 9 2" xfId="154"/>
    <cellStyle name="Обычный 9 3" xfId="156"/>
    <cellStyle name="Обычный 9 4" xfId="158"/>
    <cellStyle name="Обычный 9 5" xfId="161"/>
    <cellStyle name="Плохой" xfId="160" builtinId="27"/>
    <cellStyle name="Плохой 2" xfId="51"/>
    <cellStyle name="Плохой 3" xfId="98"/>
    <cellStyle name="Плохой 4" xfId="144"/>
    <cellStyle name="Пояснение 2" xfId="52"/>
    <cellStyle name="Пояснение 3" xfId="99"/>
    <cellStyle name="Пояснение 4" xfId="145"/>
    <cellStyle name="Примечание 2" xfId="53"/>
    <cellStyle name="Примечание 3" xfId="100"/>
    <cellStyle name="Примечание 4" xfId="146"/>
    <cellStyle name="Связанная ячейка 2" xfId="54"/>
    <cellStyle name="Связанная ячейка 3" xfId="101"/>
    <cellStyle name="Связанная ячейка 4" xfId="147"/>
    <cellStyle name="Текст предупреждения 2" xfId="55"/>
    <cellStyle name="Текст предупреждения 3" xfId="102"/>
    <cellStyle name="Текст предупреждения 4" xfId="148"/>
    <cellStyle name="Финансовый" xfId="150" builtinId="3"/>
    <cellStyle name="Финансовый 2" xfId="56"/>
    <cellStyle name="Хороший 2" xfId="57"/>
    <cellStyle name="Хороший 3" xfId="103"/>
    <cellStyle name="Хороший 4" xfId="1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155"/>
  <sheetViews>
    <sheetView zoomScaleSheetLayoutView="124" workbookViewId="0">
      <pane xSplit="6" ySplit="4" topLeftCell="G5" activePane="bottomRight" state="frozen"/>
      <selection pane="topRight" activeCell="G1" sqref="G1"/>
      <selection pane="bottomLeft" activeCell="A13" sqref="A13"/>
      <selection pane="bottomRight" activeCell="A10" sqref="A10:XFD36"/>
    </sheetView>
  </sheetViews>
  <sheetFormatPr defaultRowHeight="12.75" x14ac:dyDescent="0.2"/>
  <cols>
    <col min="1" max="1" width="44.140625" customWidth="1"/>
    <col min="2" max="2" width="19" style="108" customWidth="1"/>
    <col min="3" max="3" width="18.28515625" style="108" customWidth="1"/>
    <col min="4" max="4" width="17.140625" style="108" customWidth="1"/>
    <col min="5" max="5" width="17.140625" style="198" customWidth="1"/>
    <col min="6" max="6" width="18.42578125" style="198" customWidth="1"/>
    <col min="7" max="7" width="16.140625" style="198" customWidth="1"/>
    <col min="8" max="8" width="20" style="198" customWidth="1"/>
    <col min="9" max="9" width="16.42578125" style="198" customWidth="1"/>
    <col min="10" max="10" width="21.7109375" style="198" customWidth="1"/>
    <col min="11" max="11" width="16.85546875" style="198" customWidth="1"/>
    <col min="12" max="12" width="16" style="198" customWidth="1"/>
    <col min="13" max="14" width="15.7109375" style="198" customWidth="1"/>
    <col min="15" max="15" width="10.5703125" style="198" customWidth="1"/>
    <col min="16" max="16" width="12.7109375" style="198" customWidth="1"/>
    <col min="17" max="17" width="7.28515625" style="198" customWidth="1"/>
    <col min="18" max="18" width="12" style="198" customWidth="1"/>
    <col min="19" max="19" width="9.28515625" style="198" customWidth="1"/>
    <col min="20" max="20" width="12" style="198" customWidth="1"/>
    <col min="21" max="21" width="10.140625" style="198" customWidth="1"/>
    <col min="22" max="22" width="11.85546875" style="198" customWidth="1"/>
    <col min="23" max="23" width="9.42578125" style="198" customWidth="1"/>
    <col min="24" max="24" width="11.28515625" style="198" customWidth="1"/>
    <col min="25" max="25" width="9.5703125" style="198" customWidth="1"/>
    <col min="26" max="26" width="11" style="198" customWidth="1"/>
    <col min="27" max="27" width="9.140625" style="198" customWidth="1"/>
    <col min="28" max="28" width="10.7109375" style="198" customWidth="1"/>
    <col min="29" max="29" width="8.7109375" customWidth="1"/>
    <col min="30" max="30" width="11" customWidth="1"/>
    <col min="33" max="33" width="8.7109375" customWidth="1"/>
    <col min="36" max="36" width="10.7109375" customWidth="1"/>
  </cols>
  <sheetData>
    <row r="1" spans="1:44" x14ac:dyDescent="0.2">
      <c r="J1" s="342">
        <v>25806</v>
      </c>
      <c r="K1" s="342" t="s">
        <v>214</v>
      </c>
      <c r="O1" s="185">
        <v>26929.55</v>
      </c>
      <c r="W1" s="185">
        <v>27098.14</v>
      </c>
    </row>
    <row r="2" spans="1:44" x14ac:dyDescent="0.2">
      <c r="A2" s="358" t="s">
        <v>134</v>
      </c>
      <c r="B2" s="358"/>
      <c r="C2" s="358"/>
      <c r="D2" s="358"/>
      <c r="E2" s="358"/>
      <c r="F2" s="358"/>
      <c r="G2" s="358"/>
      <c r="H2" s="358"/>
      <c r="I2" s="358"/>
      <c r="J2" s="358"/>
      <c r="O2" s="185"/>
      <c r="W2" s="185"/>
    </row>
    <row r="3" spans="1:44" ht="66" customHeight="1" x14ac:dyDescent="0.2">
      <c r="A3" s="359" t="s">
        <v>22</v>
      </c>
      <c r="B3" s="361" t="s">
        <v>221</v>
      </c>
      <c r="C3" s="361"/>
      <c r="D3" s="361"/>
      <c r="E3" s="355" t="s">
        <v>23</v>
      </c>
      <c r="F3" s="362"/>
      <c r="G3" s="356" t="s">
        <v>57</v>
      </c>
      <c r="H3" s="356"/>
      <c r="I3" s="356" t="s">
        <v>64</v>
      </c>
      <c r="J3" s="356"/>
      <c r="K3" s="356" t="s">
        <v>58</v>
      </c>
      <c r="L3" s="356"/>
      <c r="M3" s="356" t="s">
        <v>59</v>
      </c>
      <c r="N3" s="356"/>
      <c r="O3" s="356" t="s">
        <v>60</v>
      </c>
      <c r="P3" s="356"/>
      <c r="Q3" s="363" t="s">
        <v>61</v>
      </c>
      <c r="R3" s="363"/>
      <c r="S3" s="356" t="s">
        <v>42</v>
      </c>
      <c r="T3" s="356"/>
      <c r="U3" s="356" t="s">
        <v>43</v>
      </c>
      <c r="V3" s="356"/>
      <c r="W3" s="356" t="s">
        <v>46</v>
      </c>
      <c r="X3" s="356"/>
      <c r="Y3" s="356" t="s">
        <v>62</v>
      </c>
      <c r="Z3" s="356"/>
      <c r="AA3" s="356" t="s">
        <v>63</v>
      </c>
      <c r="AB3" s="356"/>
      <c r="AC3" s="352" t="s">
        <v>113</v>
      </c>
      <c r="AD3" s="357"/>
      <c r="AE3" s="352" t="s">
        <v>114</v>
      </c>
      <c r="AF3" s="357"/>
      <c r="AG3" s="352" t="s">
        <v>115</v>
      </c>
      <c r="AH3" s="357"/>
      <c r="AI3" s="352" t="s">
        <v>116</v>
      </c>
      <c r="AJ3" s="353"/>
      <c r="AK3" s="165" t="s">
        <v>117</v>
      </c>
      <c r="AL3" s="166"/>
      <c r="AM3" s="166" t="s">
        <v>118</v>
      </c>
      <c r="AN3" s="166"/>
      <c r="AO3" s="354" t="s">
        <v>119</v>
      </c>
      <c r="AP3" s="355"/>
      <c r="AQ3" s="354" t="s">
        <v>120</v>
      </c>
      <c r="AR3" s="355"/>
    </row>
    <row r="4" spans="1:44" ht="30" customHeight="1" x14ac:dyDescent="0.2">
      <c r="A4" s="360"/>
      <c r="B4" s="197" t="s">
        <v>23</v>
      </c>
      <c r="C4" s="134">
        <v>211</v>
      </c>
      <c r="D4" s="171">
        <v>213</v>
      </c>
      <c r="E4" s="200" t="s">
        <v>65</v>
      </c>
      <c r="F4" s="199" t="s">
        <v>66</v>
      </c>
      <c r="G4" s="22" t="s">
        <v>65</v>
      </c>
      <c r="H4" s="22" t="s">
        <v>66</v>
      </c>
      <c r="I4" s="22" t="s">
        <v>65</v>
      </c>
      <c r="J4" s="22" t="s">
        <v>66</v>
      </c>
      <c r="K4" s="22" t="s">
        <v>65</v>
      </c>
      <c r="L4" s="22" t="s">
        <v>66</v>
      </c>
      <c r="M4" s="22" t="s">
        <v>65</v>
      </c>
      <c r="N4" s="22" t="s">
        <v>66</v>
      </c>
      <c r="O4" s="22" t="s">
        <v>65</v>
      </c>
      <c r="P4" s="22" t="s">
        <v>66</v>
      </c>
      <c r="Q4" s="22" t="s">
        <v>65</v>
      </c>
      <c r="R4" s="22" t="s">
        <v>66</v>
      </c>
      <c r="S4" s="22" t="s">
        <v>65</v>
      </c>
      <c r="T4" s="22" t="s">
        <v>66</v>
      </c>
      <c r="U4" s="22" t="s">
        <v>65</v>
      </c>
      <c r="V4" s="22" t="s">
        <v>66</v>
      </c>
      <c r="W4" s="22" t="s">
        <v>65</v>
      </c>
      <c r="X4" s="22" t="s">
        <v>66</v>
      </c>
      <c r="Y4" s="22" t="s">
        <v>65</v>
      </c>
      <c r="Z4" s="22" t="s">
        <v>66</v>
      </c>
      <c r="AA4" s="22" t="s">
        <v>65</v>
      </c>
      <c r="AB4" s="22" t="s">
        <v>66</v>
      </c>
      <c r="AC4" s="83" t="s">
        <v>65</v>
      </c>
      <c r="AD4" s="83" t="s">
        <v>66</v>
      </c>
      <c r="AE4" s="83" t="s">
        <v>65</v>
      </c>
      <c r="AF4" s="83" t="s">
        <v>66</v>
      </c>
      <c r="AG4" s="83" t="s">
        <v>65</v>
      </c>
      <c r="AH4" s="83" t="s">
        <v>66</v>
      </c>
      <c r="AI4" s="83" t="s">
        <v>65</v>
      </c>
      <c r="AJ4" s="164" t="s">
        <v>66</v>
      </c>
      <c r="AK4" s="83" t="s">
        <v>65</v>
      </c>
      <c r="AL4" s="83" t="s">
        <v>66</v>
      </c>
      <c r="AM4" s="83" t="s">
        <v>65</v>
      </c>
      <c r="AN4" s="83" t="s">
        <v>66</v>
      </c>
      <c r="AO4" s="83" t="s">
        <v>65</v>
      </c>
      <c r="AP4" s="83" t="s">
        <v>66</v>
      </c>
      <c r="AQ4" s="83" t="s">
        <v>65</v>
      </c>
      <c r="AR4" s="83" t="s">
        <v>66</v>
      </c>
    </row>
    <row r="5" spans="1:44" x14ac:dyDescent="0.2">
      <c r="A5" s="168" t="s">
        <v>56</v>
      </c>
      <c r="B5" s="111">
        <f t="shared" ref="B5:B8" si="0">C5+D5</f>
        <v>6222709.8460799996</v>
      </c>
      <c r="C5" s="300">
        <f t="shared" ref="C5:C8" si="1">F5*12</f>
        <v>4779347.04</v>
      </c>
      <c r="D5" s="111">
        <f t="shared" ref="D5:D8" si="2">C5*30.2%</f>
        <v>1443362.80608</v>
      </c>
      <c r="E5" s="84">
        <f t="shared" ref="E5:F8" si="3">G5+I5+K5+M5+O5+Q5+S5+U5+W5+Y5+AA5+AC5+AE5+AG5+AI5+AK5+AM5+AO5+AQ5</f>
        <v>15.25</v>
      </c>
      <c r="F5" s="170">
        <f t="shared" si="3"/>
        <v>398278.92</v>
      </c>
      <c r="G5" s="3">
        <v>1</v>
      </c>
      <c r="H5" s="190">
        <f t="shared" ref="H5:H8" si="4">G5*$J$1</f>
        <v>25806</v>
      </c>
      <c r="I5" s="3">
        <v>1</v>
      </c>
      <c r="J5" s="190">
        <f t="shared" ref="J5:J8" si="5">I5*$J$1</f>
        <v>25806</v>
      </c>
      <c r="K5" s="3"/>
      <c r="L5" s="190">
        <f t="shared" ref="L5:L8" si="6">K5*$J$1</f>
        <v>0</v>
      </c>
      <c r="M5" s="3">
        <v>1</v>
      </c>
      <c r="N5" s="190">
        <f t="shared" ref="N5:N8" si="7">M5*$J$1</f>
        <v>25806</v>
      </c>
      <c r="O5" s="3"/>
      <c r="P5" s="190">
        <f t="shared" ref="P5:P8" si="8">O5*$O$1</f>
        <v>0</v>
      </c>
      <c r="Q5" s="3">
        <v>2</v>
      </c>
      <c r="R5" s="190">
        <f>28174.71+28174.71</f>
        <v>56349.42</v>
      </c>
      <c r="S5" s="3">
        <v>3</v>
      </c>
      <c r="T5" s="190">
        <f t="shared" ref="T5:T8" si="9">S5*$J$1</f>
        <v>77418</v>
      </c>
      <c r="U5" s="3"/>
      <c r="V5" s="190">
        <f t="shared" ref="V5:V8" si="10">U5*$J$1</f>
        <v>0</v>
      </c>
      <c r="W5" s="3"/>
      <c r="X5" s="169">
        <f t="shared" ref="X5:X8" si="11">W5*$W$1</f>
        <v>0</v>
      </c>
      <c r="Y5" s="3"/>
      <c r="Z5" s="190">
        <f t="shared" ref="Z5:Z8" si="12">Y5*$J$1</f>
        <v>0</v>
      </c>
      <c r="AA5" s="3"/>
      <c r="AB5" s="190">
        <f t="shared" ref="AB5:AB8" si="13">AA5*$J$1</f>
        <v>0</v>
      </c>
      <c r="AC5" s="4">
        <v>3.75</v>
      </c>
      <c r="AD5" s="169">
        <f t="shared" ref="AD5:AD8" si="14">AC5*$J$1</f>
        <v>96772.5</v>
      </c>
      <c r="AE5" s="4">
        <v>1</v>
      </c>
      <c r="AF5" s="169">
        <f t="shared" ref="AF5:AF8" si="15">AE5*$J$1</f>
        <v>25806</v>
      </c>
      <c r="AG5" s="4">
        <v>0.5</v>
      </c>
      <c r="AH5" s="169">
        <f t="shared" ref="AH5:AH8" si="16">AG5*$J$1</f>
        <v>12903</v>
      </c>
      <c r="AI5" s="4">
        <v>1</v>
      </c>
      <c r="AJ5" s="169">
        <f t="shared" ref="AJ5:AJ8" si="17">AI5*$J$1</f>
        <v>25806</v>
      </c>
      <c r="AK5" s="4"/>
      <c r="AL5" s="169">
        <f t="shared" ref="AL5:AL8" si="18">AK5*$J$1</f>
        <v>0</v>
      </c>
      <c r="AM5" s="4"/>
      <c r="AN5" s="169">
        <f t="shared" ref="AN5:AN8" si="19">AM5*$J$1</f>
        <v>0</v>
      </c>
      <c r="AO5" s="4"/>
      <c r="AP5" s="169">
        <f t="shared" ref="AP5:AP8" si="20">AO5*$J$1</f>
        <v>0</v>
      </c>
      <c r="AQ5" s="4">
        <v>1</v>
      </c>
      <c r="AR5" s="169">
        <f t="shared" ref="AR5:AR8" si="21">AQ5*$J$1</f>
        <v>25806</v>
      </c>
    </row>
    <row r="6" spans="1:44" x14ac:dyDescent="0.2">
      <c r="A6" s="85" t="s">
        <v>20</v>
      </c>
      <c r="B6" s="111">
        <f t="shared" si="0"/>
        <v>266107.34304000001</v>
      </c>
      <c r="C6" s="300">
        <f t="shared" si="1"/>
        <v>204383.52</v>
      </c>
      <c r="D6" s="111">
        <f t="shared" si="2"/>
        <v>61723.823039999996</v>
      </c>
      <c r="E6" s="84">
        <f t="shared" si="3"/>
        <v>0.65999999999999992</v>
      </c>
      <c r="F6" s="170">
        <f t="shared" si="3"/>
        <v>17031.96</v>
      </c>
      <c r="G6" s="3"/>
      <c r="H6" s="190">
        <f t="shared" si="4"/>
        <v>0</v>
      </c>
      <c r="I6" s="3"/>
      <c r="J6" s="190">
        <f t="shared" si="5"/>
        <v>0</v>
      </c>
      <c r="K6" s="3"/>
      <c r="L6" s="190">
        <f t="shared" si="6"/>
        <v>0</v>
      </c>
      <c r="M6" s="3"/>
      <c r="N6" s="190">
        <f t="shared" si="7"/>
        <v>0</v>
      </c>
      <c r="O6" s="3"/>
      <c r="P6" s="190">
        <f t="shared" si="8"/>
        <v>0</v>
      </c>
      <c r="Q6" s="3"/>
      <c r="R6" s="190"/>
      <c r="S6" s="3">
        <v>0.25</v>
      </c>
      <c r="T6" s="190">
        <f t="shared" si="9"/>
        <v>6451.5</v>
      </c>
      <c r="U6" s="3"/>
      <c r="V6" s="190">
        <f t="shared" si="10"/>
        <v>0</v>
      </c>
      <c r="W6" s="3"/>
      <c r="X6" s="169">
        <f t="shared" si="11"/>
        <v>0</v>
      </c>
      <c r="Y6" s="3"/>
      <c r="Z6" s="190">
        <f t="shared" si="12"/>
        <v>0</v>
      </c>
      <c r="AA6" s="3"/>
      <c r="AB6" s="190">
        <f t="shared" si="13"/>
        <v>0</v>
      </c>
      <c r="AC6" s="4">
        <v>0.41</v>
      </c>
      <c r="AD6" s="169">
        <f t="shared" si="14"/>
        <v>10580.46</v>
      </c>
      <c r="AE6" s="4"/>
      <c r="AF6" s="169">
        <f t="shared" si="15"/>
        <v>0</v>
      </c>
      <c r="AG6" s="4"/>
      <c r="AH6" s="169">
        <f t="shared" si="16"/>
        <v>0</v>
      </c>
      <c r="AI6" s="4"/>
      <c r="AJ6" s="169">
        <f t="shared" si="17"/>
        <v>0</v>
      </c>
      <c r="AK6" s="4"/>
      <c r="AL6" s="169">
        <f t="shared" si="18"/>
        <v>0</v>
      </c>
      <c r="AM6" s="4"/>
      <c r="AN6" s="169">
        <f t="shared" si="19"/>
        <v>0</v>
      </c>
      <c r="AO6" s="4"/>
      <c r="AP6" s="169">
        <f t="shared" si="20"/>
        <v>0</v>
      </c>
      <c r="AQ6" s="4"/>
      <c r="AR6" s="169">
        <f t="shared" si="21"/>
        <v>0</v>
      </c>
    </row>
    <row r="7" spans="1:44" x14ac:dyDescent="0.2">
      <c r="A7" s="85" t="s">
        <v>18</v>
      </c>
      <c r="B7" s="111">
        <f t="shared" si="0"/>
        <v>270139.27247999999</v>
      </c>
      <c r="C7" s="300">
        <f t="shared" si="1"/>
        <v>207480.24</v>
      </c>
      <c r="D7" s="111">
        <f t="shared" si="2"/>
        <v>62659.032479999994</v>
      </c>
      <c r="E7" s="84">
        <f t="shared" si="3"/>
        <v>0.66999999999999993</v>
      </c>
      <c r="F7" s="170">
        <f t="shared" si="3"/>
        <v>17290.02</v>
      </c>
      <c r="G7" s="3"/>
      <c r="H7" s="190">
        <f t="shared" si="4"/>
        <v>0</v>
      </c>
      <c r="I7" s="3"/>
      <c r="J7" s="190">
        <f t="shared" si="5"/>
        <v>0</v>
      </c>
      <c r="K7" s="3"/>
      <c r="L7" s="190">
        <f t="shared" si="6"/>
        <v>0</v>
      </c>
      <c r="M7" s="3"/>
      <c r="N7" s="190">
        <f t="shared" si="7"/>
        <v>0</v>
      </c>
      <c r="O7" s="3"/>
      <c r="P7" s="190">
        <f t="shared" si="8"/>
        <v>0</v>
      </c>
      <c r="Q7" s="3"/>
      <c r="R7" s="190"/>
      <c r="S7" s="3">
        <v>0.25</v>
      </c>
      <c r="T7" s="190">
        <f t="shared" si="9"/>
        <v>6451.5</v>
      </c>
      <c r="U7" s="3"/>
      <c r="V7" s="190">
        <f t="shared" si="10"/>
        <v>0</v>
      </c>
      <c r="W7" s="3"/>
      <c r="X7" s="169">
        <f t="shared" si="11"/>
        <v>0</v>
      </c>
      <c r="Y7" s="3"/>
      <c r="Z7" s="190">
        <f t="shared" si="12"/>
        <v>0</v>
      </c>
      <c r="AA7" s="3"/>
      <c r="AB7" s="190">
        <f t="shared" si="13"/>
        <v>0</v>
      </c>
      <c r="AC7" s="4">
        <v>0.42</v>
      </c>
      <c r="AD7" s="169">
        <f t="shared" si="14"/>
        <v>10838.52</v>
      </c>
      <c r="AE7" s="4"/>
      <c r="AF7" s="169">
        <f t="shared" si="15"/>
        <v>0</v>
      </c>
      <c r="AG7" s="4"/>
      <c r="AH7" s="169">
        <f t="shared" si="16"/>
        <v>0</v>
      </c>
      <c r="AI7" s="4"/>
      <c r="AJ7" s="169">
        <f t="shared" si="17"/>
        <v>0</v>
      </c>
      <c r="AK7" s="4"/>
      <c r="AL7" s="169">
        <f t="shared" si="18"/>
        <v>0</v>
      </c>
      <c r="AM7" s="4"/>
      <c r="AN7" s="169">
        <f t="shared" si="19"/>
        <v>0</v>
      </c>
      <c r="AO7" s="4"/>
      <c r="AP7" s="169">
        <f t="shared" si="20"/>
        <v>0</v>
      </c>
      <c r="AQ7" s="4"/>
      <c r="AR7" s="169">
        <f t="shared" si="21"/>
        <v>0</v>
      </c>
    </row>
    <row r="8" spans="1:44" x14ac:dyDescent="0.2">
      <c r="A8" s="167" t="s">
        <v>19</v>
      </c>
      <c r="B8" s="111">
        <f t="shared" si="0"/>
        <v>210373.6446</v>
      </c>
      <c r="C8" s="300">
        <f t="shared" si="1"/>
        <v>161577.29999999999</v>
      </c>
      <c r="D8" s="111">
        <f t="shared" si="2"/>
        <v>48796.344599999997</v>
      </c>
      <c r="E8" s="84">
        <f t="shared" si="3"/>
        <v>0.5</v>
      </c>
      <c r="F8" s="170">
        <f t="shared" si="3"/>
        <v>13464.775</v>
      </c>
      <c r="G8" s="3"/>
      <c r="H8" s="190">
        <f t="shared" si="4"/>
        <v>0</v>
      </c>
      <c r="I8" s="3"/>
      <c r="J8" s="190">
        <f t="shared" si="5"/>
        <v>0</v>
      </c>
      <c r="K8" s="3"/>
      <c r="L8" s="190">
        <f t="shared" si="6"/>
        <v>0</v>
      </c>
      <c r="M8" s="3"/>
      <c r="N8" s="190">
        <f t="shared" si="7"/>
        <v>0</v>
      </c>
      <c r="O8" s="3">
        <v>0.5</v>
      </c>
      <c r="P8" s="190">
        <f t="shared" si="8"/>
        <v>13464.775</v>
      </c>
      <c r="Q8" s="3"/>
      <c r="R8" s="190"/>
      <c r="S8" s="3"/>
      <c r="T8" s="190">
        <f t="shared" si="9"/>
        <v>0</v>
      </c>
      <c r="U8" s="3"/>
      <c r="V8" s="190">
        <f t="shared" si="10"/>
        <v>0</v>
      </c>
      <c r="W8" s="3"/>
      <c r="X8" s="169">
        <f t="shared" si="11"/>
        <v>0</v>
      </c>
      <c r="Y8" s="3"/>
      <c r="Z8" s="190">
        <f t="shared" si="12"/>
        <v>0</v>
      </c>
      <c r="AA8" s="3"/>
      <c r="AB8" s="190">
        <f t="shared" si="13"/>
        <v>0</v>
      </c>
      <c r="AC8" s="4"/>
      <c r="AD8" s="169">
        <f t="shared" si="14"/>
        <v>0</v>
      </c>
      <c r="AE8" s="4"/>
      <c r="AF8" s="169">
        <f t="shared" si="15"/>
        <v>0</v>
      </c>
      <c r="AG8" s="4"/>
      <c r="AH8" s="169">
        <f t="shared" si="16"/>
        <v>0</v>
      </c>
      <c r="AI8" s="4"/>
      <c r="AJ8" s="169">
        <f t="shared" si="17"/>
        <v>0</v>
      </c>
      <c r="AK8" s="4"/>
      <c r="AL8" s="169">
        <f t="shared" si="18"/>
        <v>0</v>
      </c>
      <c r="AM8" s="4"/>
      <c r="AN8" s="169">
        <f t="shared" si="19"/>
        <v>0</v>
      </c>
      <c r="AO8" s="4"/>
      <c r="AP8" s="169">
        <f t="shared" si="20"/>
        <v>0</v>
      </c>
      <c r="AQ8" s="4"/>
      <c r="AR8" s="169">
        <f t="shared" si="21"/>
        <v>0</v>
      </c>
    </row>
    <row r="9" spans="1:44" x14ac:dyDescent="0.2">
      <c r="A9" s="261" t="s">
        <v>158</v>
      </c>
      <c r="B9" s="258">
        <f>B5+B6+B7+B8</f>
        <v>6969330.1061999993</v>
      </c>
      <c r="C9" s="258">
        <f t="shared" ref="C9:E9" si="22">C5+C6+C7+C8</f>
        <v>5352788.0999999996</v>
      </c>
      <c r="D9" s="258">
        <f t="shared" si="22"/>
        <v>1616542.0061999999</v>
      </c>
      <c r="E9" s="258">
        <f t="shared" si="22"/>
        <v>17.079999999999998</v>
      </c>
      <c r="F9" s="170"/>
      <c r="G9" s="3"/>
      <c r="H9" s="190"/>
      <c r="I9" s="3"/>
      <c r="J9" s="190"/>
      <c r="K9" s="3"/>
      <c r="L9" s="190"/>
      <c r="M9" s="3"/>
      <c r="N9" s="190"/>
      <c r="O9" s="3"/>
      <c r="P9" s="190"/>
      <c r="Q9" s="3"/>
      <c r="R9" s="190"/>
      <c r="S9" s="3"/>
      <c r="T9" s="190"/>
      <c r="U9" s="3"/>
      <c r="V9" s="190"/>
      <c r="W9" s="3"/>
      <c r="X9" s="169"/>
      <c r="Y9" s="3"/>
      <c r="Z9" s="190"/>
      <c r="AA9" s="3"/>
      <c r="AB9" s="190"/>
      <c r="AC9" s="4"/>
      <c r="AD9" s="169"/>
      <c r="AE9" s="4"/>
      <c r="AF9" s="169"/>
      <c r="AG9" s="4"/>
      <c r="AH9" s="169"/>
      <c r="AI9" s="4"/>
      <c r="AJ9" s="169"/>
      <c r="AK9" s="4"/>
      <c r="AL9" s="169"/>
      <c r="AM9" s="4"/>
      <c r="AN9" s="169"/>
      <c r="AO9" s="4"/>
      <c r="AP9" s="169"/>
      <c r="AQ9" s="4"/>
      <c r="AR9" s="169"/>
    </row>
    <row r="10" spans="1:44" x14ac:dyDescent="0.2">
      <c r="B10" s="186"/>
      <c r="C10" s="186"/>
      <c r="D10" s="186"/>
    </row>
    <row r="11" spans="1:44" x14ac:dyDescent="0.2">
      <c r="B11" s="186"/>
      <c r="C11" s="186"/>
      <c r="D11" s="186"/>
    </row>
    <row r="12" spans="1:44" x14ac:dyDescent="0.2">
      <c r="B12" s="186"/>
      <c r="C12" s="186"/>
      <c r="D12" s="186"/>
    </row>
    <row r="13" spans="1:44" x14ac:dyDescent="0.2">
      <c r="B13" s="186"/>
      <c r="C13" s="186"/>
      <c r="D13" s="186"/>
    </row>
    <row r="14" spans="1:44" x14ac:dyDescent="0.2">
      <c r="B14" s="186"/>
      <c r="C14" s="186"/>
      <c r="D14" s="186"/>
    </row>
    <row r="15" spans="1:44" x14ac:dyDescent="0.2">
      <c r="B15" s="186"/>
      <c r="C15" s="186"/>
      <c r="D15" s="186"/>
    </row>
    <row r="16" spans="1:44" x14ac:dyDescent="0.2">
      <c r="B16" s="186"/>
      <c r="C16" s="186"/>
      <c r="D16" s="186"/>
    </row>
    <row r="17" spans="2:4" x14ac:dyDescent="0.2">
      <c r="B17" s="186"/>
      <c r="C17" s="186"/>
      <c r="D17" s="186"/>
    </row>
    <row r="18" spans="2:4" x14ac:dyDescent="0.2">
      <c r="B18" s="186"/>
      <c r="C18" s="186"/>
      <c r="D18" s="186"/>
    </row>
    <row r="19" spans="2:4" x14ac:dyDescent="0.2">
      <c r="B19" s="186"/>
      <c r="C19" s="186"/>
      <c r="D19" s="186"/>
    </row>
    <row r="20" spans="2:4" x14ac:dyDescent="0.2">
      <c r="B20" s="186"/>
      <c r="C20" s="186"/>
      <c r="D20" s="186"/>
    </row>
    <row r="21" spans="2:4" x14ac:dyDescent="0.2">
      <c r="B21" s="186"/>
      <c r="C21" s="186"/>
      <c r="D21" s="186"/>
    </row>
    <row r="22" spans="2:4" x14ac:dyDescent="0.2">
      <c r="B22" s="186"/>
      <c r="C22" s="186"/>
      <c r="D22" s="186"/>
    </row>
    <row r="23" spans="2:4" x14ac:dyDescent="0.2">
      <c r="B23" s="186"/>
      <c r="C23" s="186"/>
      <c r="D23" s="186"/>
    </row>
    <row r="24" spans="2:4" x14ac:dyDescent="0.2">
      <c r="B24" s="186"/>
      <c r="C24" s="186"/>
      <c r="D24" s="186"/>
    </row>
    <row r="25" spans="2:4" x14ac:dyDescent="0.2">
      <c r="B25" s="186"/>
      <c r="C25" s="186"/>
      <c r="D25" s="186"/>
    </row>
    <row r="26" spans="2:4" x14ac:dyDescent="0.2">
      <c r="B26" s="186"/>
      <c r="C26" s="186"/>
      <c r="D26" s="186"/>
    </row>
    <row r="27" spans="2:4" x14ac:dyDescent="0.2">
      <c r="B27" s="186"/>
      <c r="C27" s="186"/>
      <c r="D27" s="186"/>
    </row>
    <row r="28" spans="2:4" x14ac:dyDescent="0.2">
      <c r="B28" s="186"/>
      <c r="C28" s="186"/>
      <c r="D28" s="186"/>
    </row>
    <row r="29" spans="2:4" x14ac:dyDescent="0.2">
      <c r="B29" s="186"/>
      <c r="C29" s="186"/>
      <c r="D29" s="186"/>
    </row>
    <row r="30" spans="2:4" x14ac:dyDescent="0.2">
      <c r="B30" s="186"/>
      <c r="C30" s="186"/>
      <c r="D30" s="186"/>
    </row>
    <row r="31" spans="2:4" x14ac:dyDescent="0.2">
      <c r="B31" s="186"/>
      <c r="C31" s="186"/>
      <c r="D31" s="186"/>
    </row>
    <row r="32" spans="2:4" x14ac:dyDescent="0.2">
      <c r="B32" s="186"/>
      <c r="C32" s="186"/>
      <c r="D32" s="186"/>
    </row>
    <row r="33" spans="2:4" x14ac:dyDescent="0.2">
      <c r="B33" s="186"/>
      <c r="C33" s="186"/>
      <c r="D33" s="186"/>
    </row>
    <row r="34" spans="2:4" x14ac:dyDescent="0.2">
      <c r="B34" s="186"/>
      <c r="C34" s="186"/>
      <c r="D34" s="186"/>
    </row>
    <row r="35" spans="2:4" x14ac:dyDescent="0.2">
      <c r="B35" s="186"/>
      <c r="C35" s="186"/>
      <c r="D35" s="186"/>
    </row>
    <row r="36" spans="2:4" x14ac:dyDescent="0.2">
      <c r="B36" s="186"/>
      <c r="C36" s="186"/>
      <c r="D36" s="186"/>
    </row>
    <row r="37" spans="2:4" x14ac:dyDescent="0.2">
      <c r="B37" s="186"/>
      <c r="C37" s="186"/>
      <c r="D37" s="186"/>
    </row>
    <row r="38" spans="2:4" x14ac:dyDescent="0.2">
      <c r="B38" s="186"/>
      <c r="C38" s="186"/>
      <c r="D38" s="186"/>
    </row>
    <row r="39" spans="2:4" x14ac:dyDescent="0.2">
      <c r="B39" s="186"/>
      <c r="C39" s="186"/>
      <c r="D39" s="186"/>
    </row>
    <row r="40" spans="2:4" x14ac:dyDescent="0.2">
      <c r="B40" s="186"/>
      <c r="C40" s="186"/>
      <c r="D40" s="186"/>
    </row>
    <row r="41" spans="2:4" x14ac:dyDescent="0.2">
      <c r="B41" s="186"/>
      <c r="C41" s="186"/>
      <c r="D41" s="186"/>
    </row>
    <row r="42" spans="2:4" x14ac:dyDescent="0.2">
      <c r="B42" s="186"/>
      <c r="C42" s="186"/>
      <c r="D42" s="186"/>
    </row>
    <row r="43" spans="2:4" x14ac:dyDescent="0.2">
      <c r="B43" s="186"/>
      <c r="C43" s="186"/>
      <c r="D43" s="186"/>
    </row>
    <row r="44" spans="2:4" x14ac:dyDescent="0.2">
      <c r="B44" s="186"/>
      <c r="C44" s="186"/>
      <c r="D44" s="186"/>
    </row>
    <row r="45" spans="2:4" x14ac:dyDescent="0.2">
      <c r="B45" s="186"/>
      <c r="C45" s="186"/>
      <c r="D45" s="186"/>
    </row>
    <row r="46" spans="2:4" x14ac:dyDescent="0.2">
      <c r="B46" s="186"/>
      <c r="C46" s="186"/>
      <c r="D46" s="186"/>
    </row>
    <row r="47" spans="2:4" x14ac:dyDescent="0.2">
      <c r="B47" s="186"/>
      <c r="C47" s="186"/>
      <c r="D47" s="186"/>
    </row>
    <row r="48" spans="2:4" x14ac:dyDescent="0.2">
      <c r="B48" s="186"/>
      <c r="C48" s="186"/>
      <c r="D48" s="186"/>
    </row>
    <row r="49" spans="2:4" x14ac:dyDescent="0.2">
      <c r="B49" s="186"/>
      <c r="C49" s="186"/>
      <c r="D49" s="186"/>
    </row>
    <row r="50" spans="2:4" x14ac:dyDescent="0.2">
      <c r="B50" s="186"/>
      <c r="C50" s="186"/>
      <c r="D50" s="186"/>
    </row>
    <row r="51" spans="2:4" x14ac:dyDescent="0.2">
      <c r="B51" s="186"/>
      <c r="C51" s="186"/>
      <c r="D51" s="186"/>
    </row>
    <row r="52" spans="2:4" x14ac:dyDescent="0.2">
      <c r="B52" s="186"/>
      <c r="C52" s="186"/>
      <c r="D52" s="186"/>
    </row>
    <row r="53" spans="2:4" x14ac:dyDescent="0.2">
      <c r="B53" s="186"/>
      <c r="C53" s="186"/>
      <c r="D53" s="186"/>
    </row>
    <row r="54" spans="2:4" x14ac:dyDescent="0.2">
      <c r="B54" s="186"/>
      <c r="C54" s="186"/>
      <c r="D54" s="186"/>
    </row>
    <row r="55" spans="2:4" x14ac:dyDescent="0.2">
      <c r="B55" s="186"/>
      <c r="C55" s="186"/>
      <c r="D55" s="186"/>
    </row>
    <row r="56" spans="2:4" x14ac:dyDescent="0.2">
      <c r="B56" s="186"/>
      <c r="C56" s="186"/>
      <c r="D56" s="186"/>
    </row>
    <row r="57" spans="2:4" x14ac:dyDescent="0.2">
      <c r="B57" s="186"/>
      <c r="C57" s="186"/>
      <c r="D57" s="186"/>
    </row>
    <row r="58" spans="2:4" x14ac:dyDescent="0.2">
      <c r="B58" s="186"/>
      <c r="C58" s="186"/>
      <c r="D58" s="186"/>
    </row>
    <row r="59" spans="2:4" x14ac:dyDescent="0.2">
      <c r="B59" s="186"/>
      <c r="C59" s="186"/>
      <c r="D59" s="186"/>
    </row>
    <row r="60" spans="2:4" x14ac:dyDescent="0.2">
      <c r="B60" s="186"/>
      <c r="C60" s="186"/>
      <c r="D60" s="186"/>
    </row>
    <row r="61" spans="2:4" x14ac:dyDescent="0.2">
      <c r="B61" s="186"/>
      <c r="C61" s="186"/>
      <c r="D61" s="186"/>
    </row>
    <row r="62" spans="2:4" x14ac:dyDescent="0.2">
      <c r="B62" s="186"/>
      <c r="C62" s="186"/>
      <c r="D62" s="186"/>
    </row>
    <row r="63" spans="2:4" x14ac:dyDescent="0.2">
      <c r="B63" s="186"/>
      <c r="C63" s="186"/>
      <c r="D63" s="186"/>
    </row>
    <row r="64" spans="2:4" x14ac:dyDescent="0.2">
      <c r="B64" s="186"/>
      <c r="C64" s="186"/>
      <c r="D64" s="186"/>
    </row>
    <row r="65" spans="2:4" x14ac:dyDescent="0.2">
      <c r="B65" s="186"/>
      <c r="C65" s="186"/>
      <c r="D65" s="186"/>
    </row>
    <row r="66" spans="2:4" x14ac:dyDescent="0.2">
      <c r="B66" s="186"/>
      <c r="C66" s="186"/>
      <c r="D66" s="186"/>
    </row>
    <row r="67" spans="2:4" x14ac:dyDescent="0.2">
      <c r="B67" s="186"/>
      <c r="C67" s="186"/>
      <c r="D67" s="186"/>
    </row>
    <row r="68" spans="2:4" x14ac:dyDescent="0.2">
      <c r="B68" s="186"/>
      <c r="C68" s="186"/>
      <c r="D68" s="186"/>
    </row>
    <row r="69" spans="2:4" x14ac:dyDescent="0.2">
      <c r="B69" s="186"/>
      <c r="C69" s="186"/>
      <c r="D69" s="186"/>
    </row>
    <row r="70" spans="2:4" x14ac:dyDescent="0.2">
      <c r="B70" s="186"/>
      <c r="C70" s="186"/>
      <c r="D70" s="186"/>
    </row>
    <row r="71" spans="2:4" x14ac:dyDescent="0.2">
      <c r="B71" s="186"/>
      <c r="C71" s="186"/>
      <c r="D71" s="186"/>
    </row>
    <row r="72" spans="2:4" x14ac:dyDescent="0.2">
      <c r="B72" s="186"/>
      <c r="C72" s="186"/>
      <c r="D72" s="186"/>
    </row>
    <row r="73" spans="2:4" x14ac:dyDescent="0.2">
      <c r="B73" s="186"/>
      <c r="C73" s="186"/>
      <c r="D73" s="186"/>
    </row>
    <row r="74" spans="2:4" x14ac:dyDescent="0.2">
      <c r="B74" s="186"/>
      <c r="C74" s="186"/>
      <c r="D74" s="186"/>
    </row>
    <row r="75" spans="2:4" x14ac:dyDescent="0.2">
      <c r="B75" s="186"/>
      <c r="C75" s="186"/>
      <c r="D75" s="186"/>
    </row>
    <row r="76" spans="2:4" x14ac:dyDescent="0.2">
      <c r="B76" s="186"/>
      <c r="C76" s="186"/>
      <c r="D76" s="186"/>
    </row>
    <row r="77" spans="2:4" x14ac:dyDescent="0.2">
      <c r="B77" s="186"/>
      <c r="C77" s="186"/>
      <c r="D77" s="186"/>
    </row>
    <row r="78" spans="2:4" x14ac:dyDescent="0.2">
      <c r="B78" s="186"/>
      <c r="C78" s="186"/>
      <c r="D78" s="186"/>
    </row>
    <row r="79" spans="2:4" x14ac:dyDescent="0.2">
      <c r="B79" s="186"/>
      <c r="C79" s="186"/>
      <c r="D79" s="186"/>
    </row>
    <row r="80" spans="2:4" x14ac:dyDescent="0.2">
      <c r="B80" s="186"/>
      <c r="C80" s="186"/>
      <c r="D80" s="186"/>
    </row>
    <row r="81" spans="2:4" x14ac:dyDescent="0.2">
      <c r="B81" s="186"/>
      <c r="C81" s="186"/>
      <c r="D81" s="186"/>
    </row>
    <row r="82" spans="2:4" x14ac:dyDescent="0.2">
      <c r="B82" s="186"/>
      <c r="C82" s="186"/>
      <c r="D82" s="186"/>
    </row>
    <row r="83" spans="2:4" x14ac:dyDescent="0.2">
      <c r="B83" s="186"/>
      <c r="C83" s="186"/>
      <c r="D83" s="186"/>
    </row>
    <row r="84" spans="2:4" x14ac:dyDescent="0.2">
      <c r="B84" s="186"/>
      <c r="C84" s="186"/>
      <c r="D84" s="186"/>
    </row>
    <row r="85" spans="2:4" x14ac:dyDescent="0.2">
      <c r="B85" s="186"/>
      <c r="C85" s="186"/>
      <c r="D85" s="186"/>
    </row>
    <row r="86" spans="2:4" x14ac:dyDescent="0.2">
      <c r="B86" s="186"/>
      <c r="C86" s="186"/>
      <c r="D86" s="186"/>
    </row>
    <row r="87" spans="2:4" x14ac:dyDescent="0.2">
      <c r="B87" s="186"/>
      <c r="C87" s="186"/>
      <c r="D87" s="186"/>
    </row>
    <row r="88" spans="2:4" x14ac:dyDescent="0.2">
      <c r="B88" s="186"/>
      <c r="C88" s="186"/>
      <c r="D88" s="186"/>
    </row>
    <row r="89" spans="2:4" x14ac:dyDescent="0.2">
      <c r="B89" s="186"/>
      <c r="C89" s="186"/>
      <c r="D89" s="186"/>
    </row>
    <row r="90" spans="2:4" x14ac:dyDescent="0.2">
      <c r="B90" s="186"/>
      <c r="C90" s="186"/>
      <c r="D90" s="186"/>
    </row>
    <row r="91" spans="2:4" x14ac:dyDescent="0.2">
      <c r="B91" s="186"/>
      <c r="C91" s="186"/>
      <c r="D91" s="186"/>
    </row>
    <row r="92" spans="2:4" x14ac:dyDescent="0.2">
      <c r="B92" s="186"/>
      <c r="C92" s="186"/>
      <c r="D92" s="186"/>
    </row>
    <row r="93" spans="2:4" x14ac:dyDescent="0.2">
      <c r="B93" s="186"/>
      <c r="C93" s="186"/>
      <c r="D93" s="186"/>
    </row>
    <row r="94" spans="2:4" x14ac:dyDescent="0.2">
      <c r="B94" s="186"/>
      <c r="C94" s="186"/>
      <c r="D94" s="186"/>
    </row>
    <row r="95" spans="2:4" x14ac:dyDescent="0.2">
      <c r="B95" s="186"/>
      <c r="C95" s="186"/>
      <c r="D95" s="186"/>
    </row>
    <row r="96" spans="2:4" x14ac:dyDescent="0.2">
      <c r="B96" s="186"/>
      <c r="C96" s="186"/>
      <c r="D96" s="186"/>
    </row>
    <row r="97" spans="2:4" x14ac:dyDescent="0.2">
      <c r="B97" s="186"/>
      <c r="C97" s="186"/>
      <c r="D97" s="186"/>
    </row>
    <row r="98" spans="2:4" x14ac:dyDescent="0.2">
      <c r="B98" s="186"/>
      <c r="C98" s="186"/>
      <c r="D98" s="186"/>
    </row>
    <row r="99" spans="2:4" x14ac:dyDescent="0.2">
      <c r="B99" s="186"/>
      <c r="C99" s="186"/>
      <c r="D99" s="186"/>
    </row>
    <row r="100" spans="2:4" x14ac:dyDescent="0.2">
      <c r="B100" s="186"/>
      <c r="C100" s="186"/>
      <c r="D100" s="186"/>
    </row>
    <row r="101" spans="2:4" x14ac:dyDescent="0.2">
      <c r="B101" s="186"/>
      <c r="C101" s="186"/>
      <c r="D101" s="186"/>
    </row>
    <row r="102" spans="2:4" x14ac:dyDescent="0.2">
      <c r="B102" s="186"/>
      <c r="C102" s="186"/>
      <c r="D102" s="186"/>
    </row>
    <row r="103" spans="2:4" x14ac:dyDescent="0.2">
      <c r="B103" s="186"/>
      <c r="C103" s="186"/>
      <c r="D103" s="186"/>
    </row>
    <row r="104" spans="2:4" x14ac:dyDescent="0.2">
      <c r="B104" s="186"/>
      <c r="C104" s="186"/>
      <c r="D104" s="186"/>
    </row>
    <row r="105" spans="2:4" x14ac:dyDescent="0.2">
      <c r="B105" s="186"/>
      <c r="C105" s="186"/>
      <c r="D105" s="186"/>
    </row>
    <row r="106" spans="2:4" x14ac:dyDescent="0.2">
      <c r="B106" s="186"/>
      <c r="C106" s="186"/>
      <c r="D106" s="186"/>
    </row>
    <row r="107" spans="2:4" x14ac:dyDescent="0.2">
      <c r="B107" s="186"/>
      <c r="C107" s="186"/>
      <c r="D107" s="186"/>
    </row>
    <row r="108" spans="2:4" x14ac:dyDescent="0.2">
      <c r="B108" s="186"/>
      <c r="C108" s="186"/>
      <c r="D108" s="186"/>
    </row>
    <row r="109" spans="2:4" x14ac:dyDescent="0.2">
      <c r="B109" s="186"/>
      <c r="C109" s="186"/>
      <c r="D109" s="186"/>
    </row>
    <row r="110" spans="2:4" x14ac:dyDescent="0.2">
      <c r="B110" s="186"/>
      <c r="C110" s="186"/>
      <c r="D110" s="186"/>
    </row>
    <row r="111" spans="2:4" x14ac:dyDescent="0.2">
      <c r="B111" s="186"/>
      <c r="C111" s="186"/>
      <c r="D111" s="186"/>
    </row>
    <row r="112" spans="2:4" x14ac:dyDescent="0.2">
      <c r="B112" s="186"/>
      <c r="C112" s="186"/>
      <c r="D112" s="186"/>
    </row>
    <row r="113" spans="2:4" x14ac:dyDescent="0.2">
      <c r="B113" s="186"/>
      <c r="C113" s="186"/>
      <c r="D113" s="186"/>
    </row>
    <row r="114" spans="2:4" x14ac:dyDescent="0.2">
      <c r="B114" s="186"/>
      <c r="C114" s="186"/>
      <c r="D114" s="186"/>
    </row>
    <row r="115" spans="2:4" x14ac:dyDescent="0.2">
      <c r="B115" s="186"/>
      <c r="C115" s="186"/>
      <c r="D115" s="186"/>
    </row>
    <row r="116" spans="2:4" x14ac:dyDescent="0.2">
      <c r="B116" s="186"/>
      <c r="C116" s="186"/>
      <c r="D116" s="186"/>
    </row>
    <row r="117" spans="2:4" x14ac:dyDescent="0.2">
      <c r="B117" s="186"/>
      <c r="C117" s="186"/>
      <c r="D117" s="186"/>
    </row>
    <row r="118" spans="2:4" x14ac:dyDescent="0.2">
      <c r="B118" s="186"/>
      <c r="C118" s="186"/>
      <c r="D118" s="186"/>
    </row>
    <row r="119" spans="2:4" x14ac:dyDescent="0.2">
      <c r="B119" s="186"/>
      <c r="C119" s="186"/>
      <c r="D119" s="186"/>
    </row>
    <row r="120" spans="2:4" x14ac:dyDescent="0.2">
      <c r="B120" s="186"/>
      <c r="C120" s="186"/>
      <c r="D120" s="186"/>
    </row>
    <row r="121" spans="2:4" x14ac:dyDescent="0.2">
      <c r="B121" s="186"/>
      <c r="C121" s="186"/>
      <c r="D121" s="186"/>
    </row>
    <row r="122" spans="2:4" x14ac:dyDescent="0.2">
      <c r="B122" s="186"/>
      <c r="C122" s="186"/>
      <c r="D122" s="186"/>
    </row>
    <row r="123" spans="2:4" x14ac:dyDescent="0.2">
      <c r="B123" s="186"/>
      <c r="C123" s="186"/>
      <c r="D123" s="186"/>
    </row>
    <row r="124" spans="2:4" x14ac:dyDescent="0.2">
      <c r="B124" s="186"/>
      <c r="C124" s="186"/>
      <c r="D124" s="186"/>
    </row>
    <row r="125" spans="2:4" x14ac:dyDescent="0.2">
      <c r="B125" s="186"/>
      <c r="C125" s="186"/>
      <c r="D125" s="186"/>
    </row>
    <row r="126" spans="2:4" x14ac:dyDescent="0.2">
      <c r="B126" s="186"/>
      <c r="C126" s="186"/>
      <c r="D126" s="186"/>
    </row>
    <row r="127" spans="2:4" x14ac:dyDescent="0.2">
      <c r="B127" s="186"/>
      <c r="C127" s="186"/>
      <c r="D127" s="186"/>
    </row>
    <row r="128" spans="2:4" x14ac:dyDescent="0.2">
      <c r="B128" s="186"/>
      <c r="C128" s="186"/>
      <c r="D128" s="186"/>
    </row>
    <row r="129" spans="2:4" x14ac:dyDescent="0.2">
      <c r="B129" s="186"/>
      <c r="C129" s="186"/>
      <c r="D129" s="186"/>
    </row>
    <row r="130" spans="2:4" x14ac:dyDescent="0.2">
      <c r="B130" s="186"/>
      <c r="C130" s="186"/>
      <c r="D130" s="186"/>
    </row>
    <row r="131" spans="2:4" x14ac:dyDescent="0.2">
      <c r="B131" s="186"/>
      <c r="C131" s="186"/>
      <c r="D131" s="186"/>
    </row>
    <row r="132" spans="2:4" x14ac:dyDescent="0.2">
      <c r="B132" s="186"/>
      <c r="C132" s="186"/>
      <c r="D132" s="186"/>
    </row>
    <row r="133" spans="2:4" x14ac:dyDescent="0.2">
      <c r="B133" s="186"/>
      <c r="C133" s="186"/>
      <c r="D133" s="186"/>
    </row>
    <row r="134" spans="2:4" x14ac:dyDescent="0.2">
      <c r="B134" s="186"/>
      <c r="C134" s="186"/>
      <c r="D134" s="186"/>
    </row>
    <row r="135" spans="2:4" x14ac:dyDescent="0.2">
      <c r="B135" s="186"/>
      <c r="C135" s="186"/>
      <c r="D135" s="186"/>
    </row>
    <row r="136" spans="2:4" x14ac:dyDescent="0.2">
      <c r="B136" s="186"/>
      <c r="C136" s="186"/>
      <c r="D136" s="186"/>
    </row>
    <row r="137" spans="2:4" x14ac:dyDescent="0.2">
      <c r="B137" s="186"/>
      <c r="C137" s="186"/>
      <c r="D137" s="186"/>
    </row>
    <row r="138" spans="2:4" x14ac:dyDescent="0.2">
      <c r="B138" s="186"/>
      <c r="C138" s="186"/>
      <c r="D138" s="186"/>
    </row>
    <row r="139" spans="2:4" x14ac:dyDescent="0.2">
      <c r="B139" s="186"/>
      <c r="C139" s="186"/>
      <c r="D139" s="186"/>
    </row>
    <row r="140" spans="2:4" x14ac:dyDescent="0.2">
      <c r="B140" s="186"/>
      <c r="C140" s="186"/>
      <c r="D140" s="186"/>
    </row>
    <row r="141" spans="2:4" x14ac:dyDescent="0.2">
      <c r="B141" s="186"/>
      <c r="C141" s="186"/>
      <c r="D141" s="186"/>
    </row>
    <row r="142" spans="2:4" x14ac:dyDescent="0.2">
      <c r="B142" s="186"/>
      <c r="C142" s="186"/>
      <c r="D142" s="186"/>
    </row>
    <row r="143" spans="2:4" x14ac:dyDescent="0.2">
      <c r="B143" s="186"/>
      <c r="C143" s="186"/>
      <c r="D143" s="186"/>
    </row>
    <row r="144" spans="2:4" x14ac:dyDescent="0.2">
      <c r="B144" s="186"/>
      <c r="C144" s="186"/>
      <c r="D144" s="186"/>
    </row>
    <row r="145" spans="2:4" x14ac:dyDescent="0.2">
      <c r="B145" s="186"/>
      <c r="C145" s="186"/>
      <c r="D145" s="186"/>
    </row>
    <row r="146" spans="2:4" x14ac:dyDescent="0.2">
      <c r="B146" s="186"/>
      <c r="C146" s="186"/>
      <c r="D146" s="186"/>
    </row>
    <row r="147" spans="2:4" x14ac:dyDescent="0.2">
      <c r="B147" s="186"/>
      <c r="C147" s="186"/>
      <c r="D147" s="186"/>
    </row>
    <row r="148" spans="2:4" x14ac:dyDescent="0.2">
      <c r="B148" s="186"/>
      <c r="C148" s="186"/>
      <c r="D148" s="186"/>
    </row>
    <row r="149" spans="2:4" x14ac:dyDescent="0.2">
      <c r="B149" s="186"/>
      <c r="C149" s="186"/>
      <c r="D149" s="186"/>
    </row>
    <row r="150" spans="2:4" x14ac:dyDescent="0.2">
      <c r="B150" s="186"/>
      <c r="C150" s="186"/>
      <c r="D150" s="186"/>
    </row>
    <row r="151" spans="2:4" x14ac:dyDescent="0.2">
      <c r="B151" s="186"/>
      <c r="C151" s="186"/>
      <c r="D151" s="186"/>
    </row>
    <row r="152" spans="2:4" x14ac:dyDescent="0.2">
      <c r="B152" s="186"/>
      <c r="C152" s="186"/>
      <c r="D152" s="186"/>
    </row>
    <row r="153" spans="2:4" x14ac:dyDescent="0.2">
      <c r="B153" s="186"/>
      <c r="C153" s="186"/>
      <c r="D153" s="186"/>
    </row>
    <row r="154" spans="2:4" x14ac:dyDescent="0.2">
      <c r="B154" s="186"/>
      <c r="C154" s="186"/>
      <c r="D154" s="186"/>
    </row>
    <row r="155" spans="2:4" x14ac:dyDescent="0.2">
      <c r="B155" s="186"/>
      <c r="C155" s="186"/>
      <c r="D155" s="186"/>
    </row>
  </sheetData>
  <mergeCells count="21">
    <mergeCell ref="U3:V3"/>
    <mergeCell ref="A2:J2"/>
    <mergeCell ref="A3:A4"/>
    <mergeCell ref="B3:D3"/>
    <mergeCell ref="E3:F3"/>
    <mergeCell ref="G3:H3"/>
    <mergeCell ref="I3:J3"/>
    <mergeCell ref="K3:L3"/>
    <mergeCell ref="M3:N3"/>
    <mergeCell ref="O3:P3"/>
    <mergeCell ref="Q3:R3"/>
    <mergeCell ref="S3:T3"/>
    <mergeCell ref="AI3:AJ3"/>
    <mergeCell ref="AO3:AP3"/>
    <mergeCell ref="AQ3:AR3"/>
    <mergeCell ref="W3:X3"/>
    <mergeCell ref="Y3:Z3"/>
    <mergeCell ref="AA3:AB3"/>
    <mergeCell ref="AC3:AD3"/>
    <mergeCell ref="AE3:AF3"/>
    <mergeCell ref="AG3:AH3"/>
  </mergeCells>
  <pageMargins left="0.70866141732283472" right="0" top="0.74803149606299213" bottom="0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0"/>
  <sheetViews>
    <sheetView view="pageBreakPreview" zoomScale="95" zoomScaleSheetLayoutView="9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8" sqref="A8:XFD24"/>
    </sheetView>
  </sheetViews>
  <sheetFormatPr defaultRowHeight="12.75" x14ac:dyDescent="0.2"/>
  <cols>
    <col min="1" max="1" width="4.85546875" customWidth="1"/>
    <col min="2" max="2" width="30.28515625" customWidth="1"/>
    <col min="3" max="3" width="9.85546875" style="189" customWidth="1"/>
    <col min="4" max="4" width="9.7109375" customWidth="1"/>
    <col min="5" max="5" width="21.7109375" customWidth="1"/>
    <col min="6" max="6" width="9.85546875" customWidth="1"/>
    <col min="7" max="7" width="9.42578125" customWidth="1"/>
    <col min="8" max="8" width="10.42578125" customWidth="1"/>
    <col min="9" max="9" width="12.140625" customWidth="1"/>
    <col min="10" max="10" width="14.7109375" style="112" customWidth="1"/>
    <col min="11" max="11" width="10.85546875" style="29" customWidth="1"/>
    <col min="12" max="13" width="11.85546875" customWidth="1"/>
    <col min="14" max="14" width="10.5703125" customWidth="1"/>
    <col min="15" max="15" width="12" style="112" customWidth="1"/>
    <col min="16" max="16" width="11.85546875" style="189" customWidth="1"/>
    <col min="17" max="17" width="11.42578125" customWidth="1"/>
    <col min="18" max="18" width="11.140625" customWidth="1"/>
    <col min="19" max="19" width="13.28515625" customWidth="1"/>
  </cols>
  <sheetData>
    <row r="1" spans="1:19" ht="31.5" customHeight="1" x14ac:dyDescent="0.25">
      <c r="A1" s="369" t="s">
        <v>222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230"/>
      <c r="R1" s="230"/>
      <c r="S1" s="231">
        <v>42090</v>
      </c>
    </row>
    <row r="2" spans="1:19" ht="33.75" customHeight="1" x14ac:dyDescent="0.2">
      <c r="A2" s="371" t="s">
        <v>126</v>
      </c>
      <c r="B2" s="371" t="s">
        <v>14</v>
      </c>
      <c r="C2" s="373" t="s">
        <v>24</v>
      </c>
      <c r="D2" s="375" t="s">
        <v>25</v>
      </c>
      <c r="E2" s="377" t="s">
        <v>235</v>
      </c>
      <c r="F2" s="377"/>
      <c r="G2" s="377"/>
      <c r="H2" s="377"/>
      <c r="I2" s="377"/>
      <c r="J2" s="377"/>
      <c r="K2" s="378" t="s">
        <v>236</v>
      </c>
      <c r="L2" s="378"/>
      <c r="M2" s="378"/>
      <c r="N2" s="378"/>
      <c r="O2" s="378"/>
      <c r="P2" s="379"/>
      <c r="Q2" s="232"/>
      <c r="R2" s="380" t="s">
        <v>147</v>
      </c>
      <c r="S2" s="367" t="s">
        <v>148</v>
      </c>
    </row>
    <row r="3" spans="1:19" ht="68.25" customHeight="1" thickBot="1" x14ac:dyDescent="0.25">
      <c r="A3" s="372"/>
      <c r="B3" s="372"/>
      <c r="C3" s="374"/>
      <c r="D3" s="376"/>
      <c r="E3" s="233" t="s">
        <v>149</v>
      </c>
      <c r="F3" s="233" t="s">
        <v>128</v>
      </c>
      <c r="G3" s="233" t="s">
        <v>131</v>
      </c>
      <c r="H3" s="234" t="s">
        <v>150</v>
      </c>
      <c r="I3" s="234" t="s">
        <v>151</v>
      </c>
      <c r="J3" s="234" t="s">
        <v>152</v>
      </c>
      <c r="K3" s="233" t="s">
        <v>153</v>
      </c>
      <c r="L3" s="234" t="s">
        <v>150</v>
      </c>
      <c r="M3" s="234" t="s">
        <v>127</v>
      </c>
      <c r="N3" s="234" t="s">
        <v>154</v>
      </c>
      <c r="O3" s="234" t="s">
        <v>127</v>
      </c>
      <c r="P3" s="234" t="s">
        <v>127</v>
      </c>
      <c r="Q3" s="235" t="s">
        <v>155</v>
      </c>
      <c r="R3" s="381"/>
      <c r="S3" s="368"/>
    </row>
    <row r="4" spans="1:19" ht="38.25" x14ac:dyDescent="0.2">
      <c r="A4" s="244">
        <v>1</v>
      </c>
      <c r="B4" s="245" t="s">
        <v>17</v>
      </c>
      <c r="C4" s="246">
        <v>281</v>
      </c>
      <c r="D4" s="247"/>
      <c r="E4" s="248" t="s">
        <v>156</v>
      </c>
      <c r="F4" s="248">
        <v>1</v>
      </c>
      <c r="G4" s="257">
        <v>3416.67</v>
      </c>
      <c r="H4" s="257">
        <f>F4*G4</f>
        <v>3416.67</v>
      </c>
      <c r="I4" s="257">
        <f>H4*1.2</f>
        <v>4100.0039999999999</v>
      </c>
      <c r="J4" s="257">
        <f t="shared" ref="J4:J7" si="0">I4*12</f>
        <v>49200.047999999995</v>
      </c>
      <c r="K4" s="248">
        <v>1</v>
      </c>
      <c r="L4" s="248">
        <v>219</v>
      </c>
      <c r="M4" s="248">
        <f t="shared" ref="M4" si="1">K4*L4*12</f>
        <v>2628</v>
      </c>
      <c r="N4" s="248">
        <v>200</v>
      </c>
      <c r="O4" s="248">
        <f t="shared" ref="O4" si="2">N4*K4*12*1.2</f>
        <v>2880</v>
      </c>
      <c r="P4" s="248">
        <f t="shared" ref="P4" si="3">M4+O4</f>
        <v>5508</v>
      </c>
      <c r="Q4" s="249">
        <f t="shared" ref="Q4" si="4">(J4+P4)*1.05</f>
        <v>57443.450399999994</v>
      </c>
      <c r="R4" s="252">
        <f>ROUND(Q4*0.1/100,1)*1000</f>
        <v>57400</v>
      </c>
      <c r="S4" s="364">
        <f>R4</f>
        <v>57400</v>
      </c>
    </row>
    <row r="5" spans="1:19" ht="15" customHeight="1" x14ac:dyDescent="0.2">
      <c r="A5" s="236"/>
      <c r="B5" s="253" t="s">
        <v>129</v>
      </c>
      <c r="C5" s="237"/>
      <c r="D5" s="238"/>
      <c r="E5" s="239"/>
      <c r="F5" s="239"/>
      <c r="G5" s="255"/>
      <c r="H5" s="255"/>
      <c r="I5" s="255"/>
      <c r="J5" s="255">
        <f t="shared" si="0"/>
        <v>0</v>
      </c>
      <c r="K5" s="239"/>
      <c r="L5" s="239"/>
      <c r="M5" s="239"/>
      <c r="N5" s="239"/>
      <c r="O5" s="239"/>
      <c r="P5" s="239"/>
      <c r="Q5" s="250"/>
      <c r="R5" s="240"/>
      <c r="S5" s="365"/>
    </row>
    <row r="6" spans="1:19" ht="15" customHeight="1" x14ac:dyDescent="0.2">
      <c r="A6" s="236"/>
      <c r="B6" s="253" t="s">
        <v>157</v>
      </c>
      <c r="C6" s="237"/>
      <c r="D6" s="238"/>
      <c r="E6" s="239"/>
      <c r="F6" s="239"/>
      <c r="G6" s="255"/>
      <c r="H6" s="255"/>
      <c r="I6" s="255"/>
      <c r="J6" s="255">
        <f t="shared" si="0"/>
        <v>0</v>
      </c>
      <c r="K6" s="239"/>
      <c r="L6" s="239"/>
      <c r="M6" s="239"/>
      <c r="N6" s="239"/>
      <c r="O6" s="239"/>
      <c r="P6" s="239"/>
      <c r="Q6" s="250"/>
      <c r="R6" s="240"/>
      <c r="S6" s="365"/>
    </row>
    <row r="7" spans="1:19" ht="15.75" customHeight="1" thickBot="1" x14ac:dyDescent="0.25">
      <c r="A7" s="241"/>
      <c r="B7" s="254" t="s">
        <v>130</v>
      </c>
      <c r="C7" s="242"/>
      <c r="D7" s="243"/>
      <c r="E7" s="233"/>
      <c r="F7" s="233"/>
      <c r="G7" s="256"/>
      <c r="H7" s="256"/>
      <c r="I7" s="256"/>
      <c r="J7" s="256">
        <f t="shared" si="0"/>
        <v>0</v>
      </c>
      <c r="K7" s="233"/>
      <c r="L7" s="233"/>
      <c r="M7" s="233"/>
      <c r="N7" s="233"/>
      <c r="O7" s="233"/>
      <c r="P7" s="233"/>
      <c r="Q7" s="235"/>
      <c r="R7" s="251"/>
      <c r="S7" s="366"/>
    </row>
    <row r="8" spans="1:19" x14ac:dyDescent="0.2">
      <c r="J8"/>
      <c r="K8"/>
      <c r="O8"/>
      <c r="P8"/>
    </row>
    <row r="9" spans="1:19" x14ac:dyDescent="0.2">
      <c r="A9" t="s">
        <v>138</v>
      </c>
      <c r="B9" s="186"/>
      <c r="C9" s="186"/>
      <c r="D9" s="186"/>
      <c r="J9"/>
      <c r="K9"/>
      <c r="O9"/>
      <c r="P9"/>
    </row>
    <row r="10" spans="1:19" x14ac:dyDescent="0.2">
      <c r="J10"/>
      <c r="K10"/>
      <c r="O10"/>
      <c r="P10"/>
    </row>
  </sheetData>
  <mergeCells count="10">
    <mergeCell ref="S4:S7"/>
    <mergeCell ref="S2:S3"/>
    <mergeCell ref="A1:P1"/>
    <mergeCell ref="A2:A3"/>
    <mergeCell ref="B2:B3"/>
    <mergeCell ref="C2:C3"/>
    <mergeCell ref="D2:D3"/>
    <mergeCell ref="E2:J2"/>
    <mergeCell ref="K2:P2"/>
    <mergeCell ref="R2:R3"/>
  </mergeCells>
  <pageMargins left="0.39370078740157483" right="0" top="0.19685039370078741" bottom="0" header="0.51181102362204722" footer="0.51181102362204722"/>
  <pageSetup paperSize="9" scale="4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G10"/>
  <sheetViews>
    <sheetView view="pageBreakPreview" zoomScale="87" zoomScaleSheetLayoutView="87" workbookViewId="0">
      <pane xSplit="25" ySplit="4" topLeftCell="Z5" activePane="bottomRight" state="frozen"/>
      <selection pane="topRight" activeCell="M1" sqref="M1"/>
      <selection pane="bottomLeft" activeCell="A13" sqref="A13"/>
      <selection pane="bottomRight" activeCell="A11" sqref="A11:XFD23"/>
    </sheetView>
  </sheetViews>
  <sheetFormatPr defaultRowHeight="12.75" x14ac:dyDescent="0.2"/>
  <cols>
    <col min="1" max="1" width="5" style="13" customWidth="1"/>
    <col min="2" max="2" width="29" style="13" customWidth="1"/>
    <col min="3" max="3" width="6.42578125" style="188" hidden="1" customWidth="1"/>
    <col min="4" max="4" width="5.85546875" style="188" hidden="1" customWidth="1"/>
    <col min="5" max="5" width="5.5703125" style="188" hidden="1" customWidth="1"/>
    <col min="6" max="7" width="7" style="188" hidden="1" customWidth="1"/>
    <col min="8" max="8" width="15.5703125" style="188" customWidth="1"/>
    <col min="9" max="9" width="9.42578125" style="188" customWidth="1"/>
    <col min="10" max="10" width="11.7109375" style="46" customWidth="1"/>
    <col min="11" max="11" width="9.7109375" style="46" customWidth="1"/>
    <col min="12" max="12" width="11.28515625" style="188" hidden="1" customWidth="1"/>
    <col min="13" max="13" width="8.5703125" style="188" hidden="1" customWidth="1"/>
    <col min="14" max="14" width="15.5703125" style="109" customWidth="1"/>
    <col min="15" max="15" width="15.28515625" style="109" customWidth="1"/>
    <col min="16" max="16" width="13.85546875" style="109" customWidth="1"/>
    <col min="17" max="17" width="16" style="46" customWidth="1"/>
    <col min="18" max="18" width="11.85546875" style="46" customWidth="1"/>
    <col min="19" max="19" width="15.140625" style="46" customWidth="1"/>
    <col min="20" max="20" width="16.140625" style="119" customWidth="1"/>
    <col min="21" max="21" width="9.85546875" style="188" customWidth="1"/>
    <col min="22" max="22" width="13.85546875" style="47" customWidth="1"/>
    <col min="23" max="23" width="13.7109375" style="47" customWidth="1"/>
    <col min="24" max="24" width="10.5703125" style="5" hidden="1" customWidth="1"/>
    <col min="25" max="25" width="10.85546875" style="188" customWidth="1"/>
    <col min="26" max="26" width="10.5703125" style="188" customWidth="1"/>
    <col min="27" max="27" width="11.42578125" style="188" customWidth="1"/>
    <col min="28" max="28" width="11" style="188" customWidth="1"/>
    <col min="29" max="31" width="12.28515625" style="188" customWidth="1"/>
    <col min="32" max="32" width="19.140625" style="109" customWidth="1"/>
    <col min="33" max="33" width="2.85546875" style="188" hidden="1" customWidth="1"/>
  </cols>
  <sheetData>
    <row r="1" spans="1:33" ht="30.75" customHeight="1" x14ac:dyDescent="0.2">
      <c r="R1" s="192"/>
      <c r="U1" s="173"/>
    </row>
    <row r="2" spans="1:33" ht="16.5" thickBot="1" x14ac:dyDescent="0.25">
      <c r="A2" s="384" t="s">
        <v>220</v>
      </c>
      <c r="B2" s="384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</row>
    <row r="3" spans="1:33" x14ac:dyDescent="0.2">
      <c r="A3" s="386" t="s">
        <v>0</v>
      </c>
      <c r="B3" s="388" t="s">
        <v>1</v>
      </c>
      <c r="C3" s="390" t="s">
        <v>75</v>
      </c>
      <c r="D3" s="392" t="s">
        <v>73</v>
      </c>
      <c r="E3" s="394" t="s">
        <v>24</v>
      </c>
      <c r="F3" s="396" t="s">
        <v>74</v>
      </c>
      <c r="G3" s="142"/>
      <c r="H3" s="398" t="s">
        <v>185</v>
      </c>
      <c r="I3" s="299"/>
      <c r="J3" s="399" t="s">
        <v>3</v>
      </c>
      <c r="K3" s="399"/>
      <c r="L3" s="399"/>
      <c r="M3" s="399"/>
      <c r="N3" s="399"/>
      <c r="O3" s="337" t="s">
        <v>80</v>
      </c>
      <c r="P3" s="337" t="s">
        <v>80</v>
      </c>
      <c r="Q3" s="400" t="s">
        <v>36</v>
      </c>
      <c r="R3" s="401"/>
      <c r="S3" s="401"/>
      <c r="T3" s="402"/>
      <c r="U3" s="382" t="s">
        <v>2</v>
      </c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383"/>
    </row>
    <row r="4" spans="1:33" ht="126" customHeight="1" x14ac:dyDescent="0.2">
      <c r="A4" s="387"/>
      <c r="B4" s="389"/>
      <c r="C4" s="391"/>
      <c r="D4" s="393"/>
      <c r="E4" s="395"/>
      <c r="F4" s="397"/>
      <c r="G4" s="143"/>
      <c r="H4" s="398"/>
      <c r="I4" s="344" t="s">
        <v>31</v>
      </c>
      <c r="J4" s="347" t="s">
        <v>229</v>
      </c>
      <c r="K4" s="339" t="s">
        <v>193</v>
      </c>
      <c r="L4" s="161" t="s">
        <v>4</v>
      </c>
      <c r="M4" s="161" t="s">
        <v>5</v>
      </c>
      <c r="N4" s="114" t="s">
        <v>202</v>
      </c>
      <c r="O4" s="227" t="s">
        <v>218</v>
      </c>
      <c r="P4" s="227" t="s">
        <v>231</v>
      </c>
      <c r="Q4" s="162" t="s">
        <v>233</v>
      </c>
      <c r="R4" s="163" t="s">
        <v>86</v>
      </c>
      <c r="S4" s="162" t="s">
        <v>234</v>
      </c>
      <c r="T4" s="114" t="s">
        <v>203</v>
      </c>
      <c r="U4" s="340" t="s">
        <v>205</v>
      </c>
      <c r="V4" s="339" t="s">
        <v>210</v>
      </c>
      <c r="W4" s="339" t="s">
        <v>211</v>
      </c>
      <c r="X4" s="341" t="s">
        <v>67</v>
      </c>
      <c r="Y4" s="339" t="s">
        <v>206</v>
      </c>
      <c r="Z4" s="339" t="s">
        <v>207</v>
      </c>
      <c r="AA4" s="339" t="s">
        <v>232</v>
      </c>
      <c r="AB4" s="339" t="s">
        <v>208</v>
      </c>
      <c r="AC4" s="339" t="s">
        <v>209</v>
      </c>
      <c r="AD4" s="339" t="s">
        <v>212</v>
      </c>
      <c r="AE4" s="339" t="s">
        <v>213</v>
      </c>
      <c r="AF4" s="114" t="s">
        <v>204</v>
      </c>
      <c r="AG4" s="98" t="s">
        <v>31</v>
      </c>
    </row>
    <row r="5" spans="1:33" s="29" customFormat="1" x14ac:dyDescent="0.2">
      <c r="A5" s="27">
        <v>1</v>
      </c>
      <c r="B5" s="55" t="s">
        <v>17</v>
      </c>
      <c r="C5" s="64">
        <v>286</v>
      </c>
      <c r="D5" s="207">
        <v>19</v>
      </c>
      <c r="E5" s="208"/>
      <c r="F5" s="209"/>
      <c r="G5" s="144">
        <f t="shared" ref="G5:G10" si="0">C5+E5</f>
        <v>286</v>
      </c>
      <c r="H5" s="107"/>
      <c r="I5" s="31"/>
      <c r="J5" s="53">
        <v>36000</v>
      </c>
      <c r="K5" s="45">
        <v>6000</v>
      </c>
      <c r="L5" s="14">
        <v>5495.4</v>
      </c>
      <c r="M5" s="14">
        <v>17951.099999999999</v>
      </c>
      <c r="N5" s="300">
        <f t="shared" ref="N5:N9" si="1">J5+K5</f>
        <v>42000</v>
      </c>
      <c r="O5" s="100">
        <v>30000</v>
      </c>
      <c r="P5" s="100"/>
      <c r="Q5" s="73">
        <f>15000*4*1.05</f>
        <v>63000</v>
      </c>
      <c r="R5" s="73"/>
      <c r="S5" s="73">
        <f>6900*12*1.05</f>
        <v>86940</v>
      </c>
      <c r="T5" s="117">
        <f>Q5+R5+S5</f>
        <v>149940</v>
      </c>
      <c r="U5" s="81">
        <v>66000</v>
      </c>
      <c r="V5" s="14">
        <v>17500</v>
      </c>
      <c r="W5" s="14">
        <v>2000</v>
      </c>
      <c r="X5" s="23">
        <v>2</v>
      </c>
      <c r="Y5" s="14">
        <f>X5*2500*2</f>
        <v>10000</v>
      </c>
      <c r="Z5" s="14">
        <f>1000*2</f>
        <v>2000</v>
      </c>
      <c r="AA5" s="14">
        <f>20400*12</f>
        <v>244800</v>
      </c>
      <c r="AB5" s="14">
        <v>7000</v>
      </c>
      <c r="AC5" s="140">
        <f>1300*X5*4</f>
        <v>10400</v>
      </c>
      <c r="AD5" s="140">
        <f>2600*12</f>
        <v>31200</v>
      </c>
      <c r="AE5" s="140">
        <v>10000</v>
      </c>
      <c r="AF5" s="350"/>
      <c r="AG5" s="99"/>
    </row>
    <row r="6" spans="1:33" s="29" customFormat="1" x14ac:dyDescent="0.2">
      <c r="A6" s="27"/>
      <c r="B6" s="57" t="s">
        <v>47</v>
      </c>
      <c r="C6" s="64"/>
      <c r="D6" s="207"/>
      <c r="E6" s="208">
        <v>18</v>
      </c>
      <c r="F6" s="209">
        <v>1</v>
      </c>
      <c r="G6" s="144">
        <f t="shared" si="0"/>
        <v>18</v>
      </c>
      <c r="H6" s="107"/>
      <c r="I6" s="31"/>
      <c r="J6" s="53"/>
      <c r="K6" s="45"/>
      <c r="L6" s="14"/>
      <c r="M6" s="14"/>
      <c r="N6" s="300">
        <f t="shared" si="1"/>
        <v>0</v>
      </c>
      <c r="O6" s="100"/>
      <c r="P6" s="100"/>
      <c r="Q6" s="73"/>
      <c r="R6" s="73"/>
      <c r="S6" s="73"/>
      <c r="T6" s="117">
        <f>Q6+R6+S6</f>
        <v>0</v>
      </c>
      <c r="U6" s="81"/>
      <c r="V6" s="14"/>
      <c r="W6" s="14">
        <v>2000</v>
      </c>
      <c r="X6" s="23"/>
      <c r="Y6" s="14"/>
      <c r="Z6" s="14"/>
      <c r="AA6" s="14"/>
      <c r="AB6" s="14"/>
      <c r="AC6" s="140"/>
      <c r="AD6" s="140">
        <f>2600*12</f>
        <v>31200</v>
      </c>
      <c r="AE6" s="140"/>
      <c r="AF6" s="350"/>
      <c r="AG6" s="99"/>
    </row>
    <row r="7" spans="1:33" s="29" customFormat="1" x14ac:dyDescent="0.2">
      <c r="A7" s="27"/>
      <c r="B7" s="55" t="s">
        <v>18</v>
      </c>
      <c r="C7" s="64">
        <v>5</v>
      </c>
      <c r="D7" s="207">
        <v>1</v>
      </c>
      <c r="E7" s="208"/>
      <c r="F7" s="209"/>
      <c r="G7" s="144">
        <f t="shared" si="0"/>
        <v>5</v>
      </c>
      <c r="H7" s="107"/>
      <c r="I7" s="31"/>
      <c r="J7" s="53">
        <v>0</v>
      </c>
      <c r="K7" s="45"/>
      <c r="L7" s="14"/>
      <c r="M7" s="14"/>
      <c r="N7" s="350">
        <f t="shared" si="1"/>
        <v>0</v>
      </c>
      <c r="O7" s="100"/>
      <c r="P7" s="100"/>
      <c r="Q7" s="73"/>
      <c r="R7" s="73"/>
      <c r="S7" s="73"/>
      <c r="T7" s="117"/>
      <c r="U7" s="81"/>
      <c r="V7" s="14"/>
      <c r="W7" s="14"/>
      <c r="X7" s="23"/>
      <c r="Y7" s="14"/>
      <c r="Z7" s="14"/>
      <c r="AA7" s="14"/>
      <c r="AB7" s="14"/>
      <c r="AC7" s="140"/>
      <c r="AD7" s="140"/>
      <c r="AE7" s="140"/>
      <c r="AF7" s="350"/>
      <c r="AG7" s="99"/>
    </row>
    <row r="8" spans="1:33" s="29" customFormat="1" x14ac:dyDescent="0.2">
      <c r="A8" s="27"/>
      <c r="B8" s="55" t="s">
        <v>19</v>
      </c>
      <c r="C8" s="64">
        <v>5</v>
      </c>
      <c r="D8" s="207">
        <v>1</v>
      </c>
      <c r="E8" s="208"/>
      <c r="F8" s="209"/>
      <c r="G8" s="144">
        <f t="shared" si="0"/>
        <v>5</v>
      </c>
      <c r="H8" s="107"/>
      <c r="I8" s="31"/>
      <c r="J8" s="53">
        <v>0</v>
      </c>
      <c r="K8" s="45"/>
      <c r="L8" s="14"/>
      <c r="M8" s="14"/>
      <c r="N8" s="350">
        <f t="shared" si="1"/>
        <v>0</v>
      </c>
      <c r="O8" s="100"/>
      <c r="P8" s="100"/>
      <c r="Q8" s="73"/>
      <c r="R8" s="73"/>
      <c r="S8" s="73"/>
      <c r="T8" s="117">
        <f>Q8+R8+S8</f>
        <v>0</v>
      </c>
      <c r="U8" s="81"/>
      <c r="V8" s="14"/>
      <c r="W8" s="14"/>
      <c r="X8" s="24"/>
      <c r="Y8" s="14"/>
      <c r="Z8" s="14"/>
      <c r="AA8" s="14"/>
      <c r="AB8" s="14"/>
      <c r="AC8" s="140"/>
      <c r="AD8" s="140"/>
      <c r="AE8" s="140"/>
      <c r="AF8" s="350"/>
      <c r="AG8" s="99"/>
    </row>
    <row r="9" spans="1:33" s="29" customFormat="1" x14ac:dyDescent="0.2">
      <c r="A9" s="27"/>
      <c r="B9" s="55" t="s">
        <v>20</v>
      </c>
      <c r="C9" s="64">
        <v>6</v>
      </c>
      <c r="D9" s="207">
        <v>1</v>
      </c>
      <c r="E9" s="208"/>
      <c r="F9" s="209"/>
      <c r="G9" s="144">
        <f t="shared" si="0"/>
        <v>6</v>
      </c>
      <c r="H9" s="107"/>
      <c r="I9" s="31"/>
      <c r="J9" s="53">
        <v>0</v>
      </c>
      <c r="K9" s="45"/>
      <c r="L9" s="14"/>
      <c r="M9" s="14"/>
      <c r="N9" s="350">
        <f t="shared" si="1"/>
        <v>0</v>
      </c>
      <c r="O9" s="100"/>
      <c r="P9" s="100"/>
      <c r="Q9" s="73"/>
      <c r="R9" s="73"/>
      <c r="S9" s="73"/>
      <c r="T9" s="117">
        <f>Q9+R9+S9</f>
        <v>0</v>
      </c>
      <c r="U9" s="81"/>
      <c r="V9" s="14">
        <v>11500</v>
      </c>
      <c r="W9" s="14"/>
      <c r="X9" s="215"/>
      <c r="Y9" s="14"/>
      <c r="Z9" s="14"/>
      <c r="AA9" s="14"/>
      <c r="AB9" s="14"/>
      <c r="AC9" s="140"/>
      <c r="AD9" s="140"/>
      <c r="AE9" s="140"/>
      <c r="AF9" s="350"/>
      <c r="AG9" s="99"/>
    </row>
    <row r="10" spans="1:33" s="5" customFormat="1" x14ac:dyDescent="0.2">
      <c r="A10" s="26"/>
      <c r="B10" s="56" t="s">
        <v>21</v>
      </c>
      <c r="C10" s="80">
        <f>SUM(C5:C9)</f>
        <v>302</v>
      </c>
      <c r="D10" s="351">
        <f>SUM(D5:D9)</f>
        <v>22</v>
      </c>
      <c r="E10" s="63">
        <f>SUM(E5:E9)</f>
        <v>18</v>
      </c>
      <c r="F10" s="210">
        <f>SUM(F5:F9)</f>
        <v>1</v>
      </c>
      <c r="G10" s="144">
        <f t="shared" si="0"/>
        <v>320</v>
      </c>
      <c r="H10" s="107">
        <f>AF10+N10+T10+P10</f>
        <v>637540</v>
      </c>
      <c r="I10" s="32">
        <f>H10/C10</f>
        <v>2111.0596026490066</v>
      </c>
      <c r="J10" s="54">
        <f>SUM(J5:J9)</f>
        <v>36000</v>
      </c>
      <c r="K10" s="54">
        <f>SUM(K5:K9)</f>
        <v>6000</v>
      </c>
      <c r="L10" s="15">
        <f>SUM(L5:L9)</f>
        <v>5495.4</v>
      </c>
      <c r="M10" s="15">
        <f>SUM(M5:M9)</f>
        <v>17951.099999999999</v>
      </c>
      <c r="N10" s="350">
        <f t="shared" ref="N10" si="2">J10+K10</f>
        <v>42000</v>
      </c>
      <c r="O10" s="107">
        <f>O5</f>
        <v>30000</v>
      </c>
      <c r="P10" s="107">
        <f>P5</f>
        <v>0</v>
      </c>
      <c r="Q10" s="336">
        <f t="shared" ref="Q10:S10" si="3">SUM(Q5:Q9)</f>
        <v>63000</v>
      </c>
      <c r="R10" s="336">
        <f t="shared" si="3"/>
        <v>0</v>
      </c>
      <c r="S10" s="336">
        <f t="shared" si="3"/>
        <v>86940</v>
      </c>
      <c r="T10" s="118">
        <f>SUM(T5:T9)</f>
        <v>149940</v>
      </c>
      <c r="U10" s="15">
        <f t="shared" ref="U10:AB10" si="4">SUM(U5:U9)</f>
        <v>66000</v>
      </c>
      <c r="V10" s="15">
        <f t="shared" si="4"/>
        <v>29000</v>
      </c>
      <c r="W10" s="15">
        <f t="shared" si="4"/>
        <v>4000</v>
      </c>
      <c r="X10" s="23"/>
      <c r="Y10" s="15">
        <f t="shared" si="4"/>
        <v>10000</v>
      </c>
      <c r="Z10" s="15">
        <f t="shared" si="4"/>
        <v>2000</v>
      </c>
      <c r="AA10" s="15">
        <f>SUM(AA5:AA9)</f>
        <v>244800</v>
      </c>
      <c r="AB10" s="15">
        <f t="shared" si="4"/>
        <v>7000</v>
      </c>
      <c r="AC10" s="141">
        <f>SUM(AC5:AC9)</f>
        <v>10400</v>
      </c>
      <c r="AD10" s="141">
        <f>SUM(AD5:AD9)</f>
        <v>62400</v>
      </c>
      <c r="AE10" s="141">
        <f>SUM(AE5:AE9)</f>
        <v>10000</v>
      </c>
      <c r="AF10" s="350">
        <f>ROUND(SUM(U10+V10+W10+Y10+Z10+AA10+AB10+AC10+AD10+AE10)/1000,1)*1000</f>
        <v>445600</v>
      </c>
      <c r="AG10" s="99">
        <f>AF10/C10</f>
        <v>1475.4966887417218</v>
      </c>
    </row>
  </sheetData>
  <mergeCells count="11">
    <mergeCell ref="U3:AG3"/>
    <mergeCell ref="A2:AG2"/>
    <mergeCell ref="A3:A4"/>
    <mergeCell ref="B3:B4"/>
    <mergeCell ref="C3:C4"/>
    <mergeCell ref="D3:D4"/>
    <mergeCell ref="E3:E4"/>
    <mergeCell ref="F3:F4"/>
    <mergeCell ref="H3:H4"/>
    <mergeCell ref="J3:N3"/>
    <mergeCell ref="Q3:T3"/>
  </mergeCells>
  <pageMargins left="0.39370078740157483" right="0" top="0.19685039370078741" bottom="0" header="0.51181102362204722" footer="0.51181102362204722"/>
  <pageSetup paperSize="8" scale="4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0"/>
  <sheetViews>
    <sheetView view="pageBreakPreview" zoomScale="87" zoomScaleSheetLayoutView="87" workbookViewId="0">
      <pane xSplit="5" ySplit="4" topLeftCell="F5" activePane="bottomRight" state="frozen"/>
      <selection activeCell="AG49" sqref="AG49"/>
      <selection pane="topRight" activeCell="AG49" sqref="AG49"/>
      <selection pane="bottomLeft" activeCell="AG49" sqref="AG49"/>
      <selection pane="bottomRight" activeCell="A6" sqref="A6"/>
    </sheetView>
  </sheetViews>
  <sheetFormatPr defaultRowHeight="12.75" x14ac:dyDescent="0.2"/>
  <cols>
    <col min="1" max="1" width="5.42578125" bestFit="1" customWidth="1"/>
    <col min="2" max="2" width="27.85546875" customWidth="1"/>
    <col min="3" max="3" width="17.140625" customWidth="1"/>
    <col min="4" max="4" width="13.85546875" customWidth="1"/>
    <col min="5" max="5" width="10.42578125" customWidth="1"/>
    <col min="6" max="6" width="15.85546875" style="121" customWidth="1"/>
    <col min="7" max="7" width="14.85546875" style="206" customWidth="1"/>
    <col min="8" max="8" width="14.140625" style="205" customWidth="1"/>
    <col min="9" max="9" width="16.28515625" style="205" customWidth="1"/>
    <col min="10" max="10" width="14.140625" style="5" customWidth="1"/>
    <col min="11" max="11" width="10.7109375" style="5" customWidth="1"/>
    <col min="12" max="12" width="12.140625" style="38" customWidth="1"/>
    <col min="13" max="13" width="13.28515625" customWidth="1"/>
    <col min="14" max="14" width="12.5703125" style="112" customWidth="1"/>
    <col min="15" max="15" width="10" style="9" customWidth="1"/>
    <col min="16" max="16" width="12.42578125" style="29" customWidth="1"/>
    <col min="17" max="17" width="9.85546875" style="38" customWidth="1"/>
    <col min="18" max="18" width="10.28515625" style="38" customWidth="1"/>
    <col min="19" max="19" width="10.28515625" style="39" customWidth="1"/>
    <col min="20" max="20" width="10" style="5" customWidth="1"/>
    <col min="21" max="21" width="10.5703125" style="5" customWidth="1"/>
    <col min="22" max="23" width="15.42578125" style="5" customWidth="1"/>
    <col min="24" max="24" width="14.7109375" style="122" bestFit="1" customWidth="1"/>
    <col min="25" max="25" width="11.140625" style="44" customWidth="1"/>
    <col min="26" max="27" width="3.85546875" style="44" customWidth="1"/>
    <col min="28" max="28" width="6.7109375" style="44" customWidth="1"/>
    <col min="29" max="29" width="13.42578125" style="38" customWidth="1"/>
    <col min="30" max="30" width="9.5703125" style="38" customWidth="1"/>
    <col min="31" max="31" width="16.5703125" style="38" customWidth="1"/>
    <col min="32" max="32" width="10.85546875" style="38" customWidth="1"/>
    <col min="33" max="33" width="10.28515625" style="77" customWidth="1"/>
    <col min="34" max="34" width="8.85546875" style="38" customWidth="1"/>
    <col min="35" max="35" width="9.5703125" style="38" customWidth="1"/>
    <col min="36" max="36" width="12.28515625" style="38" customWidth="1"/>
    <col min="37" max="37" width="16.7109375" style="113" customWidth="1"/>
    <col min="38" max="38" width="14.7109375" hidden="1" customWidth="1"/>
  </cols>
  <sheetData>
    <row r="1" spans="1:38" x14ac:dyDescent="0.2">
      <c r="D1" s="184" t="e">
        <f>#REF!-#REF!</f>
        <v>#REF!</v>
      </c>
      <c r="F1" s="153"/>
      <c r="G1" s="201"/>
      <c r="H1" s="152"/>
      <c r="I1" s="152"/>
      <c r="K1" s="139"/>
      <c r="X1" s="193"/>
    </row>
    <row r="2" spans="1:38" ht="16.5" thickBot="1" x14ac:dyDescent="0.3">
      <c r="B2" s="410" t="s">
        <v>223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3"/>
      <c r="Z2" s="43"/>
      <c r="AA2" s="43"/>
      <c r="AB2" s="43"/>
    </row>
    <row r="3" spans="1:38" ht="12.75" customHeight="1" x14ac:dyDescent="0.2">
      <c r="A3" s="412" t="s">
        <v>0</v>
      </c>
      <c r="B3" s="414" t="s">
        <v>1</v>
      </c>
      <c r="C3" s="416" t="s">
        <v>141</v>
      </c>
      <c r="D3" s="418" t="s">
        <v>31</v>
      </c>
      <c r="E3" s="420" t="s">
        <v>26</v>
      </c>
      <c r="F3" s="403" t="s">
        <v>6</v>
      </c>
      <c r="G3" s="404"/>
      <c r="H3" s="404"/>
      <c r="I3" s="404"/>
      <c r="J3" s="405"/>
      <c r="K3" s="406" t="s">
        <v>7</v>
      </c>
      <c r="L3" s="406"/>
      <c r="M3" s="406"/>
      <c r="N3" s="406"/>
      <c r="O3" s="321" t="s">
        <v>39</v>
      </c>
      <c r="P3" s="422" t="s">
        <v>27</v>
      </c>
      <c r="Q3" s="422"/>
      <c r="R3" s="422"/>
      <c r="S3" s="422"/>
      <c r="T3" s="422"/>
      <c r="U3" s="422"/>
      <c r="V3" s="422"/>
      <c r="W3" s="422"/>
      <c r="X3" s="422"/>
      <c r="Y3" s="407" t="s">
        <v>100</v>
      </c>
      <c r="Z3" s="407"/>
      <c r="AA3" s="407"/>
      <c r="AB3" s="407"/>
      <c r="AC3" s="408"/>
      <c r="AD3" s="408"/>
      <c r="AE3" s="408"/>
      <c r="AF3" s="408"/>
      <c r="AG3" s="408"/>
      <c r="AH3" s="408"/>
      <c r="AI3" s="408"/>
      <c r="AJ3" s="408"/>
      <c r="AK3" s="408"/>
      <c r="AL3" s="409"/>
    </row>
    <row r="4" spans="1:38" ht="99.75" customHeight="1" x14ac:dyDescent="0.2">
      <c r="A4" s="413"/>
      <c r="B4" s="415"/>
      <c r="C4" s="417"/>
      <c r="D4" s="419"/>
      <c r="E4" s="421"/>
      <c r="F4" s="114" t="s">
        <v>197</v>
      </c>
      <c r="G4" s="332" t="s">
        <v>192</v>
      </c>
      <c r="H4" s="223" t="s">
        <v>139</v>
      </c>
      <c r="I4" s="223" t="s">
        <v>191</v>
      </c>
      <c r="J4" s="333" t="s">
        <v>140</v>
      </c>
      <c r="K4" s="331" t="s">
        <v>41</v>
      </c>
      <c r="L4" s="334" t="s">
        <v>201</v>
      </c>
      <c r="M4" s="349" t="s">
        <v>200</v>
      </c>
      <c r="N4" s="310" t="s">
        <v>196</v>
      </c>
      <c r="O4" s="312" t="s">
        <v>137</v>
      </c>
      <c r="P4" s="348" t="s">
        <v>230</v>
      </c>
      <c r="Q4" s="327" t="s">
        <v>28</v>
      </c>
      <c r="R4" s="328" t="s">
        <v>29</v>
      </c>
      <c r="S4" s="327" t="s">
        <v>30</v>
      </c>
      <c r="T4" s="329" t="s">
        <v>142</v>
      </c>
      <c r="U4" s="330" t="s">
        <v>67</v>
      </c>
      <c r="V4" s="329" t="s">
        <v>217</v>
      </c>
      <c r="W4" s="329" t="s">
        <v>216</v>
      </c>
      <c r="X4" s="315" t="s">
        <v>194</v>
      </c>
      <c r="Y4" s="325" t="s">
        <v>8</v>
      </c>
      <c r="Z4" s="326" t="s">
        <v>69</v>
      </c>
      <c r="AA4" s="326" t="s">
        <v>70</v>
      </c>
      <c r="AB4" s="326" t="s">
        <v>71</v>
      </c>
      <c r="AC4" s="322" t="s">
        <v>68</v>
      </c>
      <c r="AD4" s="323" t="s">
        <v>132</v>
      </c>
      <c r="AE4" s="322" t="s">
        <v>215</v>
      </c>
      <c r="AF4" s="322" t="s">
        <v>72</v>
      </c>
      <c r="AG4" s="324" t="s">
        <v>198</v>
      </c>
      <c r="AH4" s="324" t="s">
        <v>98</v>
      </c>
      <c r="AI4" s="324" t="s">
        <v>199</v>
      </c>
      <c r="AJ4" s="324" t="s">
        <v>143</v>
      </c>
      <c r="AK4" s="318" t="s">
        <v>195</v>
      </c>
      <c r="AL4" s="52" t="s">
        <v>31</v>
      </c>
    </row>
    <row r="5" spans="1:38" x14ac:dyDescent="0.2">
      <c r="A5" s="27">
        <v>1</v>
      </c>
      <c r="B5" s="55" t="s">
        <v>17</v>
      </c>
      <c r="C5" s="307">
        <f t="shared" ref="C5:C8" si="0">X5+F5+N5+O5+AK5</f>
        <v>1117080</v>
      </c>
      <c r="D5" s="65"/>
      <c r="E5" s="69"/>
      <c r="F5" s="116">
        <f t="shared" ref="F5:F8" si="1">G5+H5+I5+J5</f>
        <v>767280</v>
      </c>
      <c r="G5" s="202">
        <f>6000*12</f>
        <v>72000</v>
      </c>
      <c r="H5" s="203"/>
      <c r="I5" s="194">
        <f>ROUND((55000*12)/1000,1)*1000</f>
        <v>660000</v>
      </c>
      <c r="J5" s="211">
        <f>(1400*12*2)*1.05</f>
        <v>35280</v>
      </c>
      <c r="K5" s="8"/>
      <c r="L5" s="221"/>
      <c r="M5" s="12">
        <v>10000</v>
      </c>
      <c r="N5" s="311">
        <f t="shared" ref="N5:N7" si="2">K5+M5+L5</f>
        <v>10000</v>
      </c>
      <c r="O5" s="313">
        <v>5000</v>
      </c>
      <c r="P5" s="12">
        <v>40000</v>
      </c>
      <c r="Q5" s="35">
        <v>25</v>
      </c>
      <c r="R5" s="36">
        <v>4</v>
      </c>
      <c r="S5" s="35">
        <v>11</v>
      </c>
      <c r="T5" s="23">
        <f>(Q5+R5+S5)*2500</f>
        <v>100000</v>
      </c>
      <c r="U5" s="23">
        <v>2</v>
      </c>
      <c r="V5" s="23">
        <f>1200*U5</f>
        <v>2400</v>
      </c>
      <c r="W5" s="23">
        <f>(180*U5)*185</f>
        <v>66600</v>
      </c>
      <c r="X5" s="316">
        <f t="shared" ref="X5:X7" si="3">ROUND((P5+T5+W5+V5)/1000,1)*1000</f>
        <v>209000</v>
      </c>
      <c r="Y5" s="86">
        <v>10000</v>
      </c>
      <c r="Z5" s="86">
        <v>1</v>
      </c>
      <c r="AA5" s="86"/>
      <c r="AB5" s="137">
        <v>3</v>
      </c>
      <c r="AC5" s="72">
        <f>Z5*3000+AA5*3000+AB5*1000</f>
        <v>6000</v>
      </c>
      <c r="AD5" s="72"/>
      <c r="AE5" s="35"/>
      <c r="AF5" s="35">
        <f>U5*(9150+22740)</f>
        <v>63780</v>
      </c>
      <c r="AG5" s="78">
        <v>6000</v>
      </c>
      <c r="AH5" s="222"/>
      <c r="AI5" s="101">
        <v>10000</v>
      </c>
      <c r="AJ5" s="101">
        <v>30000</v>
      </c>
      <c r="AK5" s="319">
        <f>ROUND((Y5+AC5+AD5+AE5+AF5+AG5+AI5+AJ5+AH5)/1000,1)*1000</f>
        <v>125800</v>
      </c>
      <c r="AL5" s="25"/>
    </row>
    <row r="6" spans="1:38" x14ac:dyDescent="0.2">
      <c r="A6" s="27"/>
      <c r="B6" s="76" t="s">
        <v>18</v>
      </c>
      <c r="C6" s="307">
        <f t="shared" si="0"/>
        <v>13000</v>
      </c>
      <c r="D6" s="65"/>
      <c r="E6" s="69"/>
      <c r="F6" s="116">
        <f t="shared" si="1"/>
        <v>0</v>
      </c>
      <c r="G6" s="202"/>
      <c r="H6" s="203"/>
      <c r="I6" s="203"/>
      <c r="J6" s="204"/>
      <c r="K6" s="12"/>
      <c r="L6" s="221"/>
      <c r="M6" s="8"/>
      <c r="N6" s="311">
        <f t="shared" si="2"/>
        <v>0</v>
      </c>
      <c r="O6" s="314"/>
      <c r="P6" s="12"/>
      <c r="Q6" s="35">
        <v>1</v>
      </c>
      <c r="R6" s="36">
        <v>2</v>
      </c>
      <c r="S6" s="35">
        <v>1</v>
      </c>
      <c r="T6" s="23">
        <f>(Q6+R6+S6)*2500</f>
        <v>10000</v>
      </c>
      <c r="U6" s="24"/>
      <c r="V6" s="24"/>
      <c r="W6" s="24"/>
      <c r="X6" s="316">
        <f t="shared" si="3"/>
        <v>10000</v>
      </c>
      <c r="Y6" s="86">
        <v>2000</v>
      </c>
      <c r="Z6" s="86"/>
      <c r="AA6" s="86"/>
      <c r="AB6" s="137">
        <v>1</v>
      </c>
      <c r="AC6" s="72">
        <f>Z6*3000+AA6*3000+AB6*1000</f>
        <v>1000</v>
      </c>
      <c r="AD6" s="72"/>
      <c r="AE6" s="35"/>
      <c r="AF6" s="35"/>
      <c r="AG6" s="78"/>
      <c r="AH6" s="222">
        <f>U6*2000</f>
        <v>0</v>
      </c>
      <c r="AI6" s="101"/>
      <c r="AJ6" s="101"/>
      <c r="AK6" s="319">
        <f>ROUND((Y6+AC6+AD6+AE6+AF6+AG6+AI6+AJ6+AH6)/1000,1)*1000</f>
        <v>3000</v>
      </c>
      <c r="AL6" s="25"/>
    </row>
    <row r="7" spans="1:38" x14ac:dyDescent="0.2">
      <c r="A7" s="27"/>
      <c r="B7" s="76" t="s">
        <v>20</v>
      </c>
      <c r="C7" s="307">
        <f t="shared" si="0"/>
        <v>7000</v>
      </c>
      <c r="D7" s="65"/>
      <c r="E7" s="69"/>
      <c r="F7" s="116">
        <f t="shared" si="1"/>
        <v>0</v>
      </c>
      <c r="G7" s="202"/>
      <c r="H7" s="203"/>
      <c r="I7" s="203"/>
      <c r="J7" s="204"/>
      <c r="K7" s="8"/>
      <c r="L7" s="221"/>
      <c r="M7" s="8"/>
      <c r="N7" s="311">
        <f t="shared" si="2"/>
        <v>0</v>
      </c>
      <c r="O7" s="314"/>
      <c r="P7" s="12"/>
      <c r="Q7" s="35">
        <v>1</v>
      </c>
      <c r="R7" s="36"/>
      <c r="S7" s="35">
        <v>1</v>
      </c>
      <c r="T7" s="23">
        <f>(Q7+R7+S7)*2500</f>
        <v>5000</v>
      </c>
      <c r="U7" s="24"/>
      <c r="V7" s="24"/>
      <c r="W7" s="24"/>
      <c r="X7" s="316">
        <f t="shared" si="3"/>
        <v>5000</v>
      </c>
      <c r="Y7" s="86">
        <v>2000</v>
      </c>
      <c r="Z7" s="86"/>
      <c r="AA7" s="86"/>
      <c r="AB7" s="137"/>
      <c r="AC7" s="72">
        <f>Z7*3000+AA7*3000+AB7*1000</f>
        <v>0</v>
      </c>
      <c r="AD7" s="72"/>
      <c r="AE7" s="35"/>
      <c r="AF7" s="35"/>
      <c r="AG7" s="78"/>
      <c r="AH7" s="222">
        <f>U7*2000</f>
        <v>0</v>
      </c>
      <c r="AI7" s="101"/>
      <c r="AJ7" s="101"/>
      <c r="AK7" s="319">
        <f>ROUND((Y7+AC7+AD7+AE7+AF7+AG7+AI7+AJ7+AH7)/1000,1)*1000</f>
        <v>2000</v>
      </c>
      <c r="AL7" s="25"/>
    </row>
    <row r="8" spans="1:38" s="220" customFormat="1" x14ac:dyDescent="0.2">
      <c r="A8" s="212"/>
      <c r="B8" s="213" t="s">
        <v>21</v>
      </c>
      <c r="C8" s="308">
        <f t="shared" si="0"/>
        <v>1137080</v>
      </c>
      <c r="D8" s="224">
        <f>C8/E8</f>
        <v>4046.5480427046264</v>
      </c>
      <c r="E8" s="214">
        <v>281</v>
      </c>
      <c r="F8" s="115">
        <f t="shared" si="1"/>
        <v>767280</v>
      </c>
      <c r="G8" s="225">
        <f>G5+G6+G7</f>
        <v>72000</v>
      </c>
      <c r="H8" s="225">
        <f t="shared" ref="H8" si="4">H5+H6+H7</f>
        <v>0</v>
      </c>
      <c r="I8" s="225">
        <f t="shared" ref="I8" si="5">I5+I6+I7</f>
        <v>660000</v>
      </c>
      <c r="J8" s="225">
        <f t="shared" ref="J8" si="6">J5+J6+J7</f>
        <v>35280</v>
      </c>
      <c r="K8" s="215">
        <f t="shared" ref="K8:O8" si="7">SUM(K5:K7)</f>
        <v>0</v>
      </c>
      <c r="L8" s="215">
        <f t="shared" si="7"/>
        <v>0</v>
      </c>
      <c r="M8" s="215">
        <f t="shared" si="7"/>
        <v>10000</v>
      </c>
      <c r="N8" s="335">
        <f t="shared" si="7"/>
        <v>10000</v>
      </c>
      <c r="O8" s="314">
        <f t="shared" si="7"/>
        <v>5000</v>
      </c>
      <c r="P8" s="215">
        <f>SUM(P5:P7)</f>
        <v>40000</v>
      </c>
      <c r="Q8" s="215">
        <f t="shared" ref="Q8:S8" si="8">SUM(Q5:Q7)</f>
        <v>27</v>
      </c>
      <c r="R8" s="215">
        <f t="shared" si="8"/>
        <v>6</v>
      </c>
      <c r="S8" s="215">
        <f t="shared" si="8"/>
        <v>13</v>
      </c>
      <c r="T8" s="217">
        <f>SUM(T5:T7)</f>
        <v>115000</v>
      </c>
      <c r="U8" s="217">
        <f t="shared" ref="U8:W8" si="9">SUM(U5:U7)</f>
        <v>2</v>
      </c>
      <c r="V8" s="217">
        <f t="shared" ref="V8" si="10">SUM(V5:V7)</f>
        <v>2400</v>
      </c>
      <c r="W8" s="217">
        <f t="shared" si="9"/>
        <v>66600</v>
      </c>
      <c r="X8" s="317">
        <f>ROUND((P8+T8+V8+W8)/1000,1)*1000</f>
        <v>224000</v>
      </c>
      <c r="Y8" s="218">
        <f>SUM(Y5:Y7)</f>
        <v>14000</v>
      </c>
      <c r="Z8" s="218"/>
      <c r="AA8" s="218"/>
      <c r="AB8" s="219"/>
      <c r="AC8" s="216">
        <f>SUM(AC5:AC7)</f>
        <v>7000</v>
      </c>
      <c r="AD8" s="216"/>
      <c r="AE8" s="216">
        <f t="shared" ref="AE8:AJ8" si="11">SUM(AE5:AE7)</f>
        <v>0</v>
      </c>
      <c r="AF8" s="216">
        <f t="shared" si="11"/>
        <v>63780</v>
      </c>
      <c r="AG8" s="216">
        <f t="shared" si="11"/>
        <v>6000</v>
      </c>
      <c r="AH8" s="216">
        <f t="shared" si="11"/>
        <v>0</v>
      </c>
      <c r="AI8" s="216">
        <f t="shared" si="11"/>
        <v>10000</v>
      </c>
      <c r="AJ8" s="216">
        <f t="shared" si="11"/>
        <v>30000</v>
      </c>
      <c r="AK8" s="320">
        <f>ROUND((Y8+AC8+AD8+AE8+AF8+AG8+AH8+AI8+AJ8)/1000,1)*1000</f>
        <v>130800.00000000001</v>
      </c>
      <c r="AL8" s="226">
        <f>AK8/E8</f>
        <v>465.4804270462634</v>
      </c>
    </row>
    <row r="10" spans="1:38" x14ac:dyDescent="0.2">
      <c r="T10" s="346" t="e">
        <f>#REF!+#REF!+#REF!+#REF!</f>
        <v>#REF!</v>
      </c>
    </row>
  </sheetData>
  <mergeCells count="10">
    <mergeCell ref="F3:J3"/>
    <mergeCell ref="K3:N3"/>
    <mergeCell ref="Y3:AL3"/>
    <mergeCell ref="B2:X2"/>
    <mergeCell ref="A3:A4"/>
    <mergeCell ref="B3:B4"/>
    <mergeCell ref="C3:C4"/>
    <mergeCell ref="D3:D4"/>
    <mergeCell ref="E3:E4"/>
    <mergeCell ref="P3:X3"/>
  </mergeCells>
  <pageMargins left="0.39370078740157483" right="0" top="0.19685039370078741" bottom="0" header="0.51181102362204722" footer="0.51181102362204722"/>
  <pageSetup paperSize="8" scale="4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B17"/>
  <sheetViews>
    <sheetView view="pageBreakPreview" zoomScale="110" zoomScaleSheetLayoutView="110" workbookViewId="0">
      <pane xSplit="2" ySplit="4" topLeftCell="C5" activePane="bottomRight" state="frozen"/>
      <selection activeCell="AG49" sqref="AG49"/>
      <selection pane="topRight" activeCell="AG49" sqref="AG49"/>
      <selection pane="bottomLeft" activeCell="AG49" sqref="AG49"/>
      <selection pane="bottomRight" activeCell="A6" sqref="A6"/>
    </sheetView>
  </sheetViews>
  <sheetFormatPr defaultRowHeight="12.75" x14ac:dyDescent="0.2"/>
  <cols>
    <col min="1" max="1" width="5" bestFit="1" customWidth="1"/>
    <col min="2" max="2" width="27.85546875" customWidth="1"/>
    <col min="3" max="3" width="8.85546875" style="38" customWidth="1"/>
    <col min="4" max="4" width="10.28515625" style="38" customWidth="1"/>
    <col min="5" max="5" width="14.140625" style="206" bestFit="1" customWidth="1"/>
    <col min="6" max="6" width="14.42578125" style="5" customWidth="1"/>
  </cols>
  <sheetData>
    <row r="2" spans="1:6" ht="16.5" customHeight="1" thickBot="1" x14ac:dyDescent="0.25">
      <c r="A2" s="358" t="s">
        <v>224</v>
      </c>
      <c r="B2" s="358"/>
      <c r="C2" s="358"/>
      <c r="D2" s="358"/>
      <c r="E2" s="358"/>
      <c r="F2" s="358"/>
    </row>
    <row r="3" spans="1:6" ht="12.75" customHeight="1" x14ac:dyDescent="0.2">
      <c r="A3" s="386" t="s">
        <v>0</v>
      </c>
      <c r="B3" s="388" t="s">
        <v>1</v>
      </c>
      <c r="C3" s="403">
        <v>227</v>
      </c>
      <c r="D3" s="404"/>
      <c r="E3" s="404"/>
      <c r="F3" s="405"/>
    </row>
    <row r="4" spans="1:6" ht="94.5" customHeight="1" x14ac:dyDescent="0.2">
      <c r="A4" s="387"/>
      <c r="B4" s="389"/>
      <c r="C4" s="58" t="s">
        <v>15</v>
      </c>
      <c r="D4" s="34" t="s">
        <v>16</v>
      </c>
      <c r="E4" s="302" t="s">
        <v>158</v>
      </c>
      <c r="F4" s="114" t="s">
        <v>144</v>
      </c>
    </row>
    <row r="5" spans="1:6" x14ac:dyDescent="0.2">
      <c r="A5" s="27">
        <v>1</v>
      </c>
      <c r="B5" s="55" t="s">
        <v>17</v>
      </c>
      <c r="C5" s="59">
        <v>3000</v>
      </c>
      <c r="D5" s="35">
        <v>19000</v>
      </c>
      <c r="E5" s="203"/>
      <c r="F5" s="309"/>
    </row>
    <row r="6" spans="1:6" x14ac:dyDescent="0.2">
      <c r="A6" s="27"/>
      <c r="B6" s="76" t="s">
        <v>18</v>
      </c>
      <c r="C6" s="59"/>
      <c r="D6" s="35"/>
      <c r="E6" s="203"/>
      <c r="F6" s="309"/>
    </row>
    <row r="7" spans="1:6" x14ac:dyDescent="0.2">
      <c r="A7" s="27"/>
      <c r="B7" s="76" t="s">
        <v>47</v>
      </c>
      <c r="C7" s="59"/>
      <c r="D7" s="35"/>
      <c r="E7" s="203"/>
      <c r="F7" s="309"/>
    </row>
    <row r="8" spans="1:6" x14ac:dyDescent="0.2">
      <c r="A8" s="27"/>
      <c r="B8" s="76" t="s">
        <v>19</v>
      </c>
      <c r="C8" s="59"/>
      <c r="D8" s="35"/>
      <c r="E8" s="203"/>
      <c r="F8" s="309"/>
    </row>
    <row r="9" spans="1:6" x14ac:dyDescent="0.2">
      <c r="A9" s="27"/>
      <c r="B9" s="76" t="s">
        <v>20</v>
      </c>
      <c r="C9" s="59"/>
      <c r="D9" s="35"/>
      <c r="E9" s="203"/>
      <c r="F9" s="309"/>
    </row>
    <row r="10" spans="1:6" x14ac:dyDescent="0.2">
      <c r="A10" s="26"/>
      <c r="B10" s="56" t="s">
        <v>21</v>
      </c>
      <c r="C10" s="60">
        <f>SUM(C5:C9)</f>
        <v>3000</v>
      </c>
      <c r="D10" s="40">
        <f>SUM(D5:D9)</f>
        <v>19000</v>
      </c>
      <c r="E10" s="203">
        <f>C10+D10</f>
        <v>22000</v>
      </c>
      <c r="F10" s="309">
        <f>E10*1.05</f>
        <v>23100</v>
      </c>
    </row>
    <row r="11" spans="1:6" ht="52.5" hidden="1" customHeight="1" x14ac:dyDescent="0.2">
      <c r="A11" s="30"/>
      <c r="B11" s="68"/>
      <c r="C11" s="61" t="s">
        <v>44</v>
      </c>
      <c r="D11" s="37" t="s">
        <v>32</v>
      </c>
      <c r="E11" s="303"/>
      <c r="F11" s="17"/>
    </row>
    <row r="12" spans="1:6" ht="26.25" hidden="1" customHeight="1" x14ac:dyDescent="0.2">
      <c r="C12" s="61"/>
      <c r="D12" s="37" t="s">
        <v>33</v>
      </c>
      <c r="E12" s="303"/>
      <c r="F12" s="17"/>
    </row>
    <row r="13" spans="1:6" ht="12.75" hidden="1" customHeight="1" x14ac:dyDescent="0.2">
      <c r="C13" s="61"/>
      <c r="D13" s="37" t="s">
        <v>45</v>
      </c>
      <c r="E13" s="303"/>
      <c r="F13" s="17"/>
    </row>
    <row r="14" spans="1:6" ht="36.75" hidden="1" customHeight="1" x14ac:dyDescent="0.2">
      <c r="C14" s="61"/>
      <c r="D14" s="37" t="s">
        <v>34</v>
      </c>
      <c r="E14" s="303"/>
      <c r="F14" s="17"/>
    </row>
    <row r="15" spans="1:6" ht="53.25" hidden="1" customHeight="1" x14ac:dyDescent="0.2">
      <c r="C15" s="61"/>
      <c r="D15" s="37"/>
      <c r="E15" s="303"/>
      <c r="F15" s="17"/>
    </row>
    <row r="17" spans="1:28" x14ac:dyDescent="0.2">
      <c r="A17" t="s">
        <v>138</v>
      </c>
      <c r="B17" s="186"/>
      <c r="C17" s="186"/>
      <c r="D17" s="186"/>
      <c r="E17" s="304"/>
      <c r="F17" s="30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</row>
  </sheetData>
  <mergeCells count="4">
    <mergeCell ref="A2:F2"/>
    <mergeCell ref="A3:A4"/>
    <mergeCell ref="B3:B4"/>
    <mergeCell ref="C3:F3"/>
  </mergeCells>
  <pageMargins left="0.59055118110236227" right="0" top="0.19685039370078741" bottom="0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12"/>
  <sheetViews>
    <sheetView view="pageBreakPreview" zoomScale="110" zoomScaleNormal="90" zoomScaleSheetLayoutView="110" workbookViewId="0">
      <selection activeCell="A11" sqref="A11:XFD18"/>
    </sheetView>
  </sheetViews>
  <sheetFormatPr defaultRowHeight="12.75" x14ac:dyDescent="0.2"/>
  <cols>
    <col min="1" max="1" width="5.28515625" customWidth="1"/>
    <col min="2" max="2" width="37.140625" customWidth="1"/>
    <col min="3" max="3" width="14.7109375" style="112" customWidth="1"/>
    <col min="4" max="4" width="0.28515625" customWidth="1"/>
    <col min="5" max="5" width="19.42578125" hidden="1" customWidth="1"/>
    <col min="6" max="6" width="19.5703125" customWidth="1"/>
    <col min="7" max="7" width="11.140625" customWidth="1"/>
    <col min="8" max="8" width="10.140625" style="125" customWidth="1"/>
    <col min="9" max="9" width="15.85546875" style="125" hidden="1" customWidth="1"/>
    <col min="10" max="10" width="10.85546875" customWidth="1"/>
    <col min="11" max="11" width="9" customWidth="1"/>
    <col min="12" max="12" width="13.5703125" style="33" customWidth="1"/>
    <col min="13" max="13" width="10.28515625" customWidth="1"/>
    <col min="14" max="14" width="0.140625" customWidth="1"/>
    <col min="15" max="15" width="15.5703125" style="5" customWidth="1"/>
    <col min="16" max="16" width="13.7109375" style="5" customWidth="1"/>
    <col min="17" max="17" width="12.85546875" style="5" hidden="1" customWidth="1"/>
    <col min="18" max="18" width="11.28515625" style="5" hidden="1" customWidth="1"/>
    <col min="19" max="19" width="15.85546875" style="29" hidden="1" customWidth="1"/>
    <col min="20" max="20" width="25.5703125" hidden="1" customWidth="1"/>
    <col min="21" max="21" width="10.42578125" hidden="1" customWidth="1"/>
    <col min="22" max="22" width="13.5703125" hidden="1" customWidth="1"/>
    <col min="23" max="23" width="9.140625" customWidth="1"/>
  </cols>
  <sheetData>
    <row r="1" spans="1:28" x14ac:dyDescent="0.2">
      <c r="L1" s="139"/>
    </row>
    <row r="2" spans="1:28" ht="16.5" thickBot="1" x14ac:dyDescent="0.3">
      <c r="A2" s="411" t="s">
        <v>225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</row>
    <row r="3" spans="1:28" ht="32.25" customHeight="1" x14ac:dyDescent="0.2">
      <c r="A3" s="386" t="s">
        <v>0</v>
      </c>
      <c r="B3" s="423" t="s">
        <v>1</v>
      </c>
      <c r="C3" s="425" t="s">
        <v>37</v>
      </c>
      <c r="D3" s="426"/>
      <c r="E3" s="427" t="s">
        <v>13</v>
      </c>
      <c r="F3" s="382" t="s">
        <v>12</v>
      </c>
      <c r="G3" s="383"/>
      <c r="H3" s="383"/>
      <c r="I3" s="429"/>
      <c r="J3" s="430" t="s">
        <v>11</v>
      </c>
      <c r="K3" s="431"/>
      <c r="L3" s="431"/>
      <c r="M3" s="431"/>
      <c r="N3" s="432"/>
      <c r="O3" s="382" t="s">
        <v>9</v>
      </c>
      <c r="P3" s="429"/>
      <c r="Q3" s="433" t="s">
        <v>35</v>
      </c>
      <c r="R3" s="435" t="s">
        <v>51</v>
      </c>
      <c r="S3" s="436"/>
      <c r="T3" s="436"/>
      <c r="U3" s="436"/>
      <c r="V3" s="437"/>
    </row>
    <row r="4" spans="1:28" ht="136.5" customHeight="1" x14ac:dyDescent="0.2">
      <c r="A4" s="387"/>
      <c r="B4" s="424"/>
      <c r="C4" s="120" t="s">
        <v>144</v>
      </c>
      <c r="D4" s="52" t="s">
        <v>25</v>
      </c>
      <c r="E4" s="428"/>
      <c r="F4" s="20" t="s">
        <v>95</v>
      </c>
      <c r="G4" s="136" t="s">
        <v>96</v>
      </c>
      <c r="H4" s="120" t="s">
        <v>144</v>
      </c>
      <c r="I4" s="52" t="s">
        <v>25</v>
      </c>
      <c r="J4" s="95" t="s">
        <v>121</v>
      </c>
      <c r="K4" s="96" t="s">
        <v>40</v>
      </c>
      <c r="L4" s="87" t="s">
        <v>85</v>
      </c>
      <c r="M4" s="120" t="s">
        <v>144</v>
      </c>
      <c r="N4" s="62" t="s">
        <v>25</v>
      </c>
      <c r="O4" s="120" t="s">
        <v>144</v>
      </c>
      <c r="P4" s="62" t="s">
        <v>25</v>
      </c>
      <c r="Q4" s="434"/>
      <c r="R4" s="90" t="s">
        <v>49</v>
      </c>
      <c r="S4" s="91" t="s">
        <v>84</v>
      </c>
      <c r="T4" s="92" t="s">
        <v>50</v>
      </c>
      <c r="U4" s="93" t="s">
        <v>48</v>
      </c>
      <c r="V4" s="94" t="s">
        <v>25</v>
      </c>
    </row>
    <row r="5" spans="1:28" s="29" customFormat="1" x14ac:dyDescent="0.2">
      <c r="A5" s="27">
        <v>1</v>
      </c>
      <c r="B5" s="55" t="s">
        <v>17</v>
      </c>
      <c r="C5" s="123"/>
      <c r="D5" s="65"/>
      <c r="E5" s="48"/>
      <c r="F5" s="64"/>
      <c r="G5" s="1"/>
      <c r="H5" s="148"/>
      <c r="I5" s="31"/>
      <c r="J5" s="18"/>
      <c r="K5" s="28"/>
      <c r="L5" s="78"/>
      <c r="M5" s="100"/>
      <c r="N5" s="32"/>
      <c r="O5" s="18"/>
      <c r="P5" s="32"/>
      <c r="Q5" s="49"/>
      <c r="R5" s="28"/>
      <c r="S5" s="75"/>
      <c r="T5" s="12"/>
      <c r="U5" s="12"/>
      <c r="V5" s="32"/>
    </row>
    <row r="6" spans="1:28" s="29" customFormat="1" x14ac:dyDescent="0.2">
      <c r="A6" s="27"/>
      <c r="B6" s="57" t="s">
        <v>47</v>
      </c>
      <c r="C6" s="123"/>
      <c r="D6" s="65"/>
      <c r="E6" s="48"/>
      <c r="F6" s="64"/>
      <c r="G6" s="1"/>
      <c r="H6" s="148"/>
      <c r="I6" s="31"/>
      <c r="J6" s="18"/>
      <c r="K6" s="28"/>
      <c r="L6" s="78"/>
      <c r="M6" s="100"/>
      <c r="N6" s="32"/>
      <c r="O6" s="18"/>
      <c r="P6" s="32"/>
      <c r="Q6" s="49"/>
      <c r="R6" s="28"/>
      <c r="S6" s="75"/>
      <c r="T6" s="12"/>
      <c r="U6" s="12"/>
      <c r="V6" s="32"/>
    </row>
    <row r="7" spans="1:28" s="29" customFormat="1" x14ac:dyDescent="0.2">
      <c r="A7" s="27"/>
      <c r="B7" s="55" t="s">
        <v>18</v>
      </c>
      <c r="C7" s="123"/>
      <c r="D7" s="65"/>
      <c r="E7" s="48"/>
      <c r="F7" s="64"/>
      <c r="G7" s="1"/>
      <c r="H7" s="148"/>
      <c r="I7" s="31"/>
      <c r="J7" s="18"/>
      <c r="K7" s="28"/>
      <c r="L7" s="78"/>
      <c r="M7" s="100"/>
      <c r="N7" s="32"/>
      <c r="O7" s="18"/>
      <c r="P7" s="32"/>
      <c r="Q7" s="49"/>
      <c r="R7" s="28"/>
      <c r="S7" s="75"/>
      <c r="T7" s="12"/>
      <c r="U7" s="12"/>
      <c r="V7" s="32"/>
    </row>
    <row r="8" spans="1:28" s="29" customFormat="1" x14ac:dyDescent="0.2">
      <c r="A8" s="27"/>
      <c r="B8" s="55" t="s">
        <v>19</v>
      </c>
      <c r="C8" s="123"/>
      <c r="D8" s="65"/>
      <c r="E8" s="48"/>
      <c r="F8" s="64"/>
      <c r="G8" s="1"/>
      <c r="H8" s="148"/>
      <c r="I8" s="31"/>
      <c r="J8" s="18"/>
      <c r="K8" s="28"/>
      <c r="L8" s="78"/>
      <c r="M8" s="100"/>
      <c r="N8" s="32"/>
      <c r="O8" s="18"/>
      <c r="P8" s="32"/>
      <c r="Q8" s="49"/>
      <c r="R8" s="28"/>
      <c r="S8" s="75"/>
      <c r="T8" s="12"/>
      <c r="U8" s="12"/>
      <c r="V8" s="32"/>
    </row>
    <row r="9" spans="1:28" s="29" customFormat="1" x14ac:dyDescent="0.2">
      <c r="A9" s="27"/>
      <c r="B9" s="55" t="s">
        <v>20</v>
      </c>
      <c r="C9" s="123"/>
      <c r="D9" s="65"/>
      <c r="E9" s="48"/>
      <c r="F9" s="64"/>
      <c r="G9" s="1"/>
      <c r="H9" s="148"/>
      <c r="I9" s="31"/>
      <c r="J9" s="18"/>
      <c r="K9" s="28"/>
      <c r="L9" s="78"/>
      <c r="M9" s="100"/>
      <c r="N9" s="32"/>
      <c r="O9" s="18"/>
      <c r="P9" s="32"/>
      <c r="Q9" s="49"/>
      <c r="R9" s="28"/>
      <c r="S9" s="75"/>
      <c r="T9" s="12"/>
      <c r="U9" s="12"/>
      <c r="V9" s="32"/>
    </row>
    <row r="10" spans="1:28" s="5" customFormat="1" x14ac:dyDescent="0.2">
      <c r="A10" s="26"/>
      <c r="B10" s="56" t="s">
        <v>21</v>
      </c>
      <c r="C10" s="110">
        <f>J10+L10+F10</f>
        <v>146715</v>
      </c>
      <c r="D10" s="71" t="e">
        <f>C10/E10</f>
        <v>#DIV/0!</v>
      </c>
      <c r="E10" s="126"/>
      <c r="F10" s="80">
        <v>134000</v>
      </c>
      <c r="G10" s="127"/>
      <c r="H10" s="149">
        <f>F10+G10</f>
        <v>134000</v>
      </c>
      <c r="I10" s="71" t="e">
        <f>H10/E10</f>
        <v>#DIV/0!</v>
      </c>
      <c r="J10" s="19">
        <v>12715</v>
      </c>
      <c r="K10" s="10"/>
      <c r="L10" s="41">
        <f>SUM(L5:L9)</f>
        <v>0</v>
      </c>
      <c r="M10" s="107">
        <f>J10+K10+L10</f>
        <v>12715</v>
      </c>
      <c r="N10" s="16" t="e">
        <f>M10/E10</f>
        <v>#DIV/0!</v>
      </c>
      <c r="O10" s="19"/>
      <c r="P10" s="16"/>
      <c r="Q10" s="50">
        <f>SUM(Q5:Q9)</f>
        <v>0</v>
      </c>
      <c r="R10" s="10"/>
      <c r="S10" s="74">
        <v>0</v>
      </c>
      <c r="T10" s="8"/>
      <c r="U10" s="8">
        <f>S10+T10</f>
        <v>0</v>
      </c>
      <c r="V10" s="16" t="e">
        <f>U10/E10</f>
        <v>#DIV/0!</v>
      </c>
    </row>
    <row r="11" spans="1:28" ht="15" customHeight="1" x14ac:dyDescent="0.3">
      <c r="B11" s="128"/>
      <c r="C11" s="151"/>
      <c r="D11" s="128"/>
      <c r="E11" s="128"/>
      <c r="F11" s="128"/>
      <c r="G11" s="128"/>
      <c r="H11" s="128"/>
      <c r="I11" s="128"/>
      <c r="J11" s="128"/>
      <c r="K11" s="128"/>
      <c r="L11" s="97"/>
      <c r="M11" s="128"/>
      <c r="N11" s="128"/>
    </row>
    <row r="12" spans="1:28" x14ac:dyDescent="0.2">
      <c r="A12" t="s">
        <v>138</v>
      </c>
      <c r="B12" s="186"/>
      <c r="C12" s="186"/>
      <c r="D12" s="186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</row>
  </sheetData>
  <mergeCells count="10">
    <mergeCell ref="A2:T2"/>
    <mergeCell ref="A3:A4"/>
    <mergeCell ref="B3:B4"/>
    <mergeCell ref="C3:D3"/>
    <mergeCell ref="E3:E4"/>
    <mergeCell ref="F3:I3"/>
    <mergeCell ref="J3:N3"/>
    <mergeCell ref="O3:P3"/>
    <mergeCell ref="Q3:Q4"/>
    <mergeCell ref="R3:V3"/>
  </mergeCells>
  <pageMargins left="0.39370078740157483" right="0" top="0.19685039370078741" bottom="0.19685039370078741" header="0.51181102362204722" footer="0.51181102362204722"/>
  <pageSetup paperSize="9" scale="58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B12"/>
  <sheetViews>
    <sheetView view="pageBreakPreview" zoomScaleNormal="90" zoomScaleSheetLayoutView="100" workbookViewId="0">
      <selection activeCell="A6" sqref="A6"/>
    </sheetView>
  </sheetViews>
  <sheetFormatPr defaultRowHeight="12.75" x14ac:dyDescent="0.2"/>
  <cols>
    <col min="1" max="1" width="6.140625" customWidth="1"/>
    <col min="2" max="2" width="40" customWidth="1"/>
    <col min="3" max="3" width="14.85546875" style="66" customWidth="1"/>
    <col min="4" max="4" width="15.7109375" style="88" customWidth="1"/>
    <col min="5" max="5" width="14.85546875" style="88" customWidth="1"/>
    <col min="6" max="6" width="18.28515625" hidden="1" customWidth="1"/>
    <col min="7" max="7" width="15" style="51" hidden="1" customWidth="1"/>
    <col min="8" max="8" width="4" customWidth="1"/>
    <col min="9" max="9" width="12.28515625" customWidth="1"/>
    <col min="10" max="10" width="9" customWidth="1"/>
    <col min="11" max="11" width="7.5703125" customWidth="1"/>
  </cols>
  <sheetData>
    <row r="2" spans="1:28" ht="30" customHeight="1" x14ac:dyDescent="0.25">
      <c r="A2" s="439" t="s">
        <v>226</v>
      </c>
      <c r="B2" s="439"/>
      <c r="C2" s="439"/>
      <c r="D2" s="439"/>
      <c r="E2" s="439"/>
      <c r="F2" s="439"/>
      <c r="G2" s="439"/>
    </row>
    <row r="3" spans="1:28" ht="18" customHeight="1" x14ac:dyDescent="0.2">
      <c r="A3" s="412" t="s">
        <v>97</v>
      </c>
      <c r="B3" s="388" t="s">
        <v>1</v>
      </c>
      <c r="C3" s="438" t="s">
        <v>55</v>
      </c>
      <c r="D3" s="438"/>
      <c r="E3" s="438"/>
      <c r="F3" s="438"/>
      <c r="G3" s="438"/>
    </row>
    <row r="4" spans="1:28" ht="64.5" customHeight="1" x14ac:dyDescent="0.2">
      <c r="A4" s="387"/>
      <c r="B4" s="389"/>
      <c r="C4" s="227" t="s">
        <v>145</v>
      </c>
      <c r="D4" s="11" t="s">
        <v>228</v>
      </c>
      <c r="E4" s="11" t="s">
        <v>92</v>
      </c>
      <c r="F4" s="42" t="s">
        <v>31</v>
      </c>
      <c r="G4" s="106" t="s">
        <v>13</v>
      </c>
    </row>
    <row r="5" spans="1:28" x14ac:dyDescent="0.2">
      <c r="A5" s="27">
        <v>1</v>
      </c>
      <c r="B5" s="55" t="s">
        <v>17</v>
      </c>
      <c r="C5" s="228"/>
      <c r="D5" s="1">
        <v>50000</v>
      </c>
      <c r="E5" s="104"/>
      <c r="F5" s="2"/>
      <c r="G5" s="82">
        <v>335</v>
      </c>
    </row>
    <row r="6" spans="1:28" x14ac:dyDescent="0.2">
      <c r="A6" s="27"/>
      <c r="B6" s="76" t="s">
        <v>47</v>
      </c>
      <c r="C6" s="228"/>
      <c r="D6" s="28"/>
      <c r="E6" s="104"/>
      <c r="F6" s="2"/>
      <c r="G6" s="82">
        <v>25</v>
      </c>
    </row>
    <row r="7" spans="1:28" x14ac:dyDescent="0.2">
      <c r="A7" s="27"/>
      <c r="B7" s="76" t="s">
        <v>18</v>
      </c>
      <c r="C7" s="228"/>
      <c r="D7" s="28"/>
      <c r="E7" s="104"/>
      <c r="F7" s="2"/>
      <c r="G7" s="82"/>
    </row>
    <row r="8" spans="1:28" x14ac:dyDescent="0.2">
      <c r="A8" s="27"/>
      <c r="B8" s="76" t="s">
        <v>19</v>
      </c>
      <c r="C8" s="228"/>
      <c r="D8" s="28"/>
      <c r="E8" s="104"/>
      <c r="F8" s="2"/>
      <c r="G8" s="82"/>
    </row>
    <row r="9" spans="1:28" x14ac:dyDescent="0.2">
      <c r="A9" s="27"/>
      <c r="B9" s="76" t="s">
        <v>20</v>
      </c>
      <c r="C9" s="228"/>
      <c r="D9" s="28"/>
      <c r="E9" s="104"/>
      <c r="F9" s="2"/>
      <c r="G9" s="82"/>
    </row>
    <row r="10" spans="1:28" x14ac:dyDescent="0.2">
      <c r="A10" s="26"/>
      <c r="B10" s="56" t="s">
        <v>21</v>
      </c>
      <c r="C10" s="107">
        <f>D10</f>
        <v>50000</v>
      </c>
      <c r="D10" s="172">
        <f>SUM(D5:D9)</f>
        <v>50000</v>
      </c>
      <c r="E10" s="79"/>
      <c r="F10" s="21">
        <f>C10/G10</f>
        <v>138.88888888888889</v>
      </c>
      <c r="G10" s="105">
        <f>SUM(G5:G9)</f>
        <v>360</v>
      </c>
    </row>
    <row r="12" spans="1:28" x14ac:dyDescent="0.2">
      <c r="A12" t="s">
        <v>138</v>
      </c>
      <c r="B12" s="186"/>
      <c r="C12" s="186"/>
      <c r="D12" s="186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</row>
  </sheetData>
  <mergeCells count="4">
    <mergeCell ref="C3:G3"/>
    <mergeCell ref="A2:G2"/>
    <mergeCell ref="A3:A4"/>
    <mergeCell ref="B3:B4"/>
  </mergeCells>
  <pageMargins left="0.78740157480314965" right="0" top="0.39370078740157483" bottom="0" header="0.51181102362204722" footer="0.51181102362204722"/>
  <pageSetup paperSize="9" scale="50" fitToHeight="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G25"/>
  <sheetViews>
    <sheetView topLeftCell="B2" zoomScale="90" zoomScaleNormal="90" zoomScaleSheetLayoutView="120" workbookViewId="0">
      <pane xSplit="1" ySplit="3" topLeftCell="C5" activePane="bottomRight" state="frozen"/>
      <selection activeCell="AG49" sqref="AG49"/>
      <selection pane="topRight" activeCell="AG49" sqref="AG49"/>
      <selection pane="bottomLeft" activeCell="AG49" sqref="AG49"/>
      <selection pane="bottomRight" activeCell="B10" sqref="A10:XFD48"/>
    </sheetView>
  </sheetViews>
  <sheetFormatPr defaultRowHeight="12.75" x14ac:dyDescent="0.2"/>
  <cols>
    <col min="1" max="1" width="5.5703125" customWidth="1"/>
    <col min="2" max="2" width="36.5703125" customWidth="1"/>
    <col min="3" max="3" width="8.42578125" customWidth="1"/>
    <col min="4" max="4" width="9.5703125" customWidth="1"/>
    <col min="5" max="5" width="6.7109375" hidden="1" customWidth="1"/>
    <col min="6" max="6" width="7.7109375" hidden="1" customWidth="1"/>
    <col min="7" max="7" width="20.85546875" style="29" customWidth="1"/>
    <col min="8" max="8" width="0.140625" hidden="1" customWidth="1"/>
    <col min="9" max="9" width="17" style="124" customWidth="1"/>
    <col min="10" max="11" width="14" style="124" customWidth="1"/>
    <col min="12" max="12" width="14" style="29" customWidth="1"/>
    <col min="13" max="13" width="14" style="29" hidden="1" customWidth="1"/>
    <col min="14" max="17" width="14" style="29" customWidth="1"/>
    <col min="18" max="21" width="14" customWidth="1"/>
    <col min="22" max="22" width="14" style="112" customWidth="1"/>
    <col min="23" max="23" width="16.42578125" style="112" hidden="1" customWidth="1"/>
    <col min="24" max="26" width="16.42578125" style="112" customWidth="1"/>
    <col min="27" max="27" width="13.85546875" customWidth="1"/>
    <col min="28" max="28" width="13.85546875" hidden="1" customWidth="1"/>
    <col min="29" max="29" width="15.85546875" style="29" hidden="1" customWidth="1"/>
    <col min="30" max="30" width="13.7109375" hidden="1" customWidth="1"/>
    <col min="31" max="31" width="9.140625" hidden="1" customWidth="1"/>
  </cols>
  <sheetData>
    <row r="2" spans="1:33" ht="16.5" thickBot="1" x14ac:dyDescent="0.3">
      <c r="A2" s="411" t="s">
        <v>227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</row>
    <row r="3" spans="1:33" ht="12.75" customHeight="1" thickBot="1" x14ac:dyDescent="0.25">
      <c r="A3" s="386" t="s">
        <v>0</v>
      </c>
      <c r="B3" s="388" t="s">
        <v>1</v>
      </c>
      <c r="C3" s="390" t="s">
        <v>75</v>
      </c>
      <c r="D3" s="443" t="s">
        <v>73</v>
      </c>
      <c r="E3" s="390" t="s">
        <v>24</v>
      </c>
      <c r="F3" s="443" t="s">
        <v>74</v>
      </c>
      <c r="G3" s="446" t="s">
        <v>38</v>
      </c>
      <c r="H3" s="383"/>
      <c r="I3" s="129" t="s">
        <v>87</v>
      </c>
      <c r="J3" s="129" t="s">
        <v>88</v>
      </c>
      <c r="K3" s="138" t="s">
        <v>89</v>
      </c>
      <c r="L3" s="398" t="s">
        <v>83</v>
      </c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174" t="s">
        <v>122</v>
      </c>
      <c r="X3" s="440" t="s">
        <v>123</v>
      </c>
      <c r="Y3" s="441"/>
      <c r="Z3" s="441"/>
      <c r="AA3" s="442"/>
      <c r="AB3" s="175"/>
      <c r="AC3" s="102"/>
    </row>
    <row r="4" spans="1:33" ht="81.75" customHeight="1" x14ac:dyDescent="0.2">
      <c r="A4" s="387"/>
      <c r="B4" s="389"/>
      <c r="C4" s="391"/>
      <c r="D4" s="444"/>
      <c r="E4" s="445"/>
      <c r="F4" s="444"/>
      <c r="G4" s="147" t="s">
        <v>144</v>
      </c>
      <c r="H4" s="67" t="s">
        <v>31</v>
      </c>
      <c r="I4" s="195" t="s">
        <v>146</v>
      </c>
      <c r="J4" s="155" t="s">
        <v>81</v>
      </c>
      <c r="K4" s="155" t="s">
        <v>82</v>
      </c>
      <c r="L4" s="305" t="s">
        <v>219</v>
      </c>
      <c r="M4" s="156" t="s">
        <v>76</v>
      </c>
      <c r="N4" s="306" t="s">
        <v>188</v>
      </c>
      <c r="O4" s="157" t="s">
        <v>99</v>
      </c>
      <c r="P4" s="157" t="s">
        <v>93</v>
      </c>
      <c r="Q4" s="158" t="s">
        <v>67</v>
      </c>
      <c r="R4" s="159" t="s">
        <v>52</v>
      </c>
      <c r="S4" s="159" t="s">
        <v>53</v>
      </c>
      <c r="T4" s="160" t="s">
        <v>54</v>
      </c>
      <c r="U4" s="196" t="s">
        <v>184</v>
      </c>
      <c r="V4" s="114" t="s">
        <v>104</v>
      </c>
      <c r="W4" s="176" t="s">
        <v>124</v>
      </c>
      <c r="X4" s="156" t="s">
        <v>78</v>
      </c>
      <c r="Y4" s="156" t="s">
        <v>79</v>
      </c>
      <c r="Z4" s="103" t="s">
        <v>77</v>
      </c>
      <c r="AA4" s="181" t="s">
        <v>90</v>
      </c>
      <c r="AB4" s="6" t="s">
        <v>91</v>
      </c>
      <c r="AC4" s="67" t="s">
        <v>31</v>
      </c>
      <c r="AD4" s="129" t="s">
        <v>94</v>
      </c>
    </row>
    <row r="5" spans="1:33" x14ac:dyDescent="0.2">
      <c r="A5" s="27" t="s">
        <v>10</v>
      </c>
      <c r="B5" s="55" t="s">
        <v>17</v>
      </c>
      <c r="C5" s="89">
        <v>269</v>
      </c>
      <c r="D5" s="89">
        <v>15</v>
      </c>
      <c r="E5" s="89" t="e">
        <f>#REF!</f>
        <v>#REF!</v>
      </c>
      <c r="F5" s="31"/>
      <c r="G5" s="343"/>
      <c r="H5" s="130"/>
      <c r="I5" s="154">
        <f t="shared" ref="I5:I8" si="0">ROUNDUP((C5*10)/1000,1)*1000</f>
        <v>2700</v>
      </c>
      <c r="J5" s="154">
        <v>50000</v>
      </c>
      <c r="K5" s="145"/>
      <c r="L5" s="75">
        <v>30000</v>
      </c>
      <c r="M5" s="12"/>
      <c r="N5" s="75">
        <f>ROUNDUP((D5*1000)/1000,1)*1000</f>
        <v>15000</v>
      </c>
      <c r="O5" s="70"/>
      <c r="P5" s="70"/>
      <c r="Q5" s="70">
        <v>2</v>
      </c>
      <c r="R5" s="7">
        <v>50000</v>
      </c>
      <c r="S5" s="7">
        <f>(4*15000)</f>
        <v>60000</v>
      </c>
      <c r="T5" s="23">
        <v>6000</v>
      </c>
      <c r="U5" s="12"/>
      <c r="V5" s="135"/>
      <c r="W5" s="12"/>
      <c r="X5" s="12"/>
      <c r="Y5" s="12"/>
      <c r="Z5" s="8"/>
      <c r="AA5" s="180"/>
      <c r="AB5" s="12"/>
      <c r="AC5" s="70"/>
      <c r="AD5" s="132"/>
      <c r="AG5">
        <v>9000</v>
      </c>
    </row>
    <row r="6" spans="1:33" x14ac:dyDescent="0.2">
      <c r="A6" s="27"/>
      <c r="B6" s="76" t="s">
        <v>18</v>
      </c>
      <c r="C6" s="89">
        <v>7</v>
      </c>
      <c r="D6" s="89">
        <v>1</v>
      </c>
      <c r="E6" s="89" t="e">
        <f>#REF!</f>
        <v>#REF!</v>
      </c>
      <c r="F6" s="31"/>
      <c r="G6" s="343"/>
      <c r="H6" s="130"/>
      <c r="I6" s="154">
        <f t="shared" si="0"/>
        <v>100</v>
      </c>
      <c r="J6" s="154"/>
      <c r="K6" s="145"/>
      <c r="L6" s="75">
        <v>1000</v>
      </c>
      <c r="M6" s="12"/>
      <c r="N6" s="75">
        <f>ROUNDUP((D6*1000)/1000,1)*1000</f>
        <v>1000</v>
      </c>
      <c r="O6" s="70"/>
      <c r="P6" s="70"/>
      <c r="Q6" s="24"/>
      <c r="R6" s="7"/>
      <c r="S6" s="7"/>
      <c r="T6" s="23"/>
      <c r="U6" s="12"/>
      <c r="V6" s="135"/>
      <c r="W6" s="12"/>
      <c r="X6" s="12"/>
      <c r="Y6" s="12"/>
      <c r="Z6" s="8"/>
      <c r="AA6" s="180"/>
      <c r="AB6" s="12"/>
      <c r="AC6" s="70"/>
      <c r="AD6" s="132"/>
    </row>
    <row r="7" spans="1:33" x14ac:dyDescent="0.2">
      <c r="A7" s="27"/>
      <c r="B7" s="345" t="s">
        <v>19</v>
      </c>
      <c r="C7" s="89">
        <v>0</v>
      </c>
      <c r="D7" s="89">
        <v>0</v>
      </c>
      <c r="E7" s="89" t="e">
        <f>#REF!</f>
        <v>#REF!</v>
      </c>
      <c r="F7" s="31"/>
      <c r="G7" s="343"/>
      <c r="H7" s="130"/>
      <c r="I7" s="154">
        <f t="shared" si="0"/>
        <v>0</v>
      </c>
      <c r="J7" s="154"/>
      <c r="K7" s="145"/>
      <c r="L7" s="75">
        <f t="shared" ref="L7" si="1">ROUNDUP((C7*150)/1000,1)*1000</f>
        <v>0</v>
      </c>
      <c r="M7" s="12"/>
      <c r="N7" s="75">
        <f>ROUNDUP((D7*1000)/1000,1)*1000</f>
        <v>0</v>
      </c>
      <c r="O7" s="70"/>
      <c r="P7" s="70"/>
      <c r="Q7" s="24"/>
      <c r="R7" s="7"/>
      <c r="S7" s="7"/>
      <c r="T7" s="23"/>
      <c r="U7" s="12"/>
      <c r="V7" s="135"/>
      <c r="W7" s="12"/>
      <c r="X7" s="12"/>
      <c r="Y7" s="12"/>
      <c r="Z7" s="8"/>
      <c r="AA7" s="180"/>
      <c r="AB7" s="12"/>
      <c r="AC7" s="70"/>
      <c r="AD7" s="132"/>
    </row>
    <row r="8" spans="1:33" x14ac:dyDescent="0.2">
      <c r="A8" s="27"/>
      <c r="B8" s="76" t="s">
        <v>20</v>
      </c>
      <c r="C8" s="89">
        <v>5</v>
      </c>
      <c r="D8" s="89">
        <v>1</v>
      </c>
      <c r="E8" s="89" t="e">
        <f>#REF!</f>
        <v>#REF!</v>
      </c>
      <c r="F8" s="31"/>
      <c r="G8" s="343"/>
      <c r="H8" s="130"/>
      <c r="I8" s="154">
        <f t="shared" si="0"/>
        <v>100</v>
      </c>
      <c r="J8" s="154"/>
      <c r="K8" s="145"/>
      <c r="L8" s="75">
        <v>1000</v>
      </c>
      <c r="M8" s="12"/>
      <c r="N8" s="75">
        <f>ROUNDUP((D8*1000)/1000,1)*1000</f>
        <v>1000</v>
      </c>
      <c r="O8" s="70"/>
      <c r="P8" s="70"/>
      <c r="Q8" s="24"/>
      <c r="R8" s="7"/>
      <c r="S8" s="7"/>
      <c r="T8" s="23"/>
      <c r="U8" s="12"/>
      <c r="V8" s="135"/>
      <c r="W8" s="12"/>
      <c r="X8" s="12"/>
      <c r="Y8" s="12"/>
      <c r="Z8" s="8"/>
      <c r="AA8" s="180"/>
      <c r="AB8" s="12"/>
      <c r="AC8" s="70"/>
      <c r="AD8" s="132"/>
      <c r="AG8">
        <v>9000</v>
      </c>
    </row>
    <row r="9" spans="1:33" s="5" customFormat="1" x14ac:dyDescent="0.2">
      <c r="A9" s="26"/>
      <c r="B9" s="56" t="s">
        <v>21</v>
      </c>
      <c r="C9" s="187">
        <f>C5+C6+C7+C8</f>
        <v>281</v>
      </c>
      <c r="D9" s="187">
        <f t="shared" ref="D9:F9" si="2">D5+D6+D7+D8</f>
        <v>17</v>
      </c>
      <c r="E9" s="187" t="e">
        <f t="shared" si="2"/>
        <v>#REF!</v>
      </c>
      <c r="F9" s="187">
        <f t="shared" si="2"/>
        <v>0</v>
      </c>
      <c r="G9" s="343">
        <f>I9+J9+K9+V9+W9+AA9</f>
        <v>253100</v>
      </c>
      <c r="H9" s="131" t="e">
        <f>G9/(C9+E9)</f>
        <v>#REF!</v>
      </c>
      <c r="I9" s="146">
        <f>I5+I6+I8</f>
        <v>2900</v>
      </c>
      <c r="J9" s="146">
        <f t="shared" ref="J9:K9" si="3">J5+J6+J8</f>
        <v>50000</v>
      </c>
      <c r="K9" s="146">
        <f t="shared" si="3"/>
        <v>0</v>
      </c>
      <c r="L9" s="146">
        <f>SUM(L5:L8)</f>
        <v>32000</v>
      </c>
      <c r="M9" s="8"/>
      <c r="N9" s="74">
        <f>SUM(N5:N8)</f>
        <v>17000</v>
      </c>
      <c r="O9" s="24"/>
      <c r="P9" s="24"/>
      <c r="Q9" s="24">
        <f>SUM(Q5:Q8)</f>
        <v>2</v>
      </c>
      <c r="R9" s="8">
        <f>SUM(R5:R8)</f>
        <v>50000</v>
      </c>
      <c r="S9" s="8">
        <f>SUM(S5:S8)</f>
        <v>60000</v>
      </c>
      <c r="T9" s="24">
        <f>SUM(T5:T8)</f>
        <v>6000</v>
      </c>
      <c r="U9" s="8"/>
      <c r="V9" s="177">
        <f>L9+M9+N9+O9+P9+R9+S9+T9+U9</f>
        <v>165000</v>
      </c>
      <c r="W9" s="8"/>
      <c r="X9" s="12">
        <v>23</v>
      </c>
      <c r="Y9" s="12">
        <v>9</v>
      </c>
      <c r="Z9" s="8">
        <f>(X9+Y9)*400</f>
        <v>12800</v>
      </c>
      <c r="AA9" s="180">
        <f>ROUND(((X9+Y9)*700)/1000,1)*1000+Z9</f>
        <v>35200</v>
      </c>
      <c r="AB9" s="8"/>
      <c r="AC9" s="70" t="e">
        <f>#REF!/#REF!</f>
        <v>#REF!</v>
      </c>
      <c r="AD9" s="133">
        <v>14000</v>
      </c>
    </row>
    <row r="10" spans="1:33" x14ac:dyDescent="0.2">
      <c r="G10" s="201"/>
      <c r="H10" s="150"/>
      <c r="I10" s="178"/>
      <c r="J10" s="178"/>
      <c r="K10" s="178"/>
      <c r="L10" s="201"/>
      <c r="M10" s="201"/>
      <c r="N10" s="201"/>
      <c r="O10" s="201"/>
      <c r="P10" s="201"/>
      <c r="Q10" s="201"/>
      <c r="R10" s="150"/>
      <c r="S10" s="150"/>
      <c r="T10" s="150"/>
      <c r="U10" s="150"/>
      <c r="V10" s="179"/>
      <c r="W10" s="179"/>
      <c r="X10" s="179"/>
      <c r="Y10" s="179"/>
      <c r="Z10" s="179"/>
      <c r="AA10" s="150"/>
    </row>
    <row r="11" spans="1:33" x14ac:dyDescent="0.2">
      <c r="A11" t="s">
        <v>138</v>
      </c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150"/>
      <c r="AA11" s="150"/>
      <c r="AC11"/>
    </row>
    <row r="12" spans="1:33" x14ac:dyDescent="0.2">
      <c r="G12" s="201"/>
      <c r="H12" s="150"/>
      <c r="I12" s="178"/>
      <c r="J12" s="178"/>
      <c r="K12" s="178"/>
      <c r="L12" s="201"/>
      <c r="M12" s="201"/>
      <c r="N12" s="201"/>
      <c r="O12" s="201"/>
      <c r="P12" s="201"/>
      <c r="Q12" s="201"/>
      <c r="R12" s="150"/>
      <c r="S12" s="150"/>
      <c r="T12" s="150"/>
      <c r="U12" s="150"/>
      <c r="V12" s="179"/>
      <c r="W12" s="179"/>
      <c r="X12" s="179"/>
      <c r="Y12" s="179"/>
      <c r="Z12" s="179"/>
      <c r="AA12" s="150"/>
    </row>
    <row r="13" spans="1:33" x14ac:dyDescent="0.2">
      <c r="C13" s="338"/>
      <c r="D13" s="338"/>
      <c r="E13" s="338"/>
      <c r="F13" s="338"/>
      <c r="G13" s="338"/>
      <c r="H13" s="338"/>
      <c r="I13" s="338"/>
      <c r="J13" s="338"/>
      <c r="K13" s="178"/>
      <c r="L13" s="201"/>
      <c r="M13" s="201"/>
      <c r="N13" s="201"/>
      <c r="O13" s="201"/>
      <c r="P13" s="201"/>
      <c r="Q13" s="201"/>
      <c r="R13" s="150"/>
      <c r="S13" s="150"/>
      <c r="T13" s="150"/>
      <c r="U13" s="150"/>
      <c r="V13" s="179"/>
      <c r="W13" s="179"/>
      <c r="X13" s="179"/>
      <c r="Y13" s="179"/>
      <c r="Z13" s="179"/>
      <c r="AA13" s="150"/>
    </row>
    <row r="14" spans="1:33" x14ac:dyDescent="0.2">
      <c r="G14"/>
      <c r="H14" s="201"/>
      <c r="I14" s="150"/>
      <c r="J14" s="178"/>
      <c r="K14" s="178"/>
      <c r="L14" s="201"/>
      <c r="M14" s="201"/>
      <c r="N14" s="201"/>
      <c r="O14" s="201"/>
      <c r="P14" s="201"/>
      <c r="Q14" s="201"/>
      <c r="R14" s="150"/>
      <c r="S14" s="150"/>
      <c r="T14" s="150"/>
      <c r="U14" s="150"/>
      <c r="V14" s="179"/>
      <c r="W14" s="179"/>
      <c r="X14" s="179"/>
      <c r="Y14" s="179"/>
      <c r="Z14" s="179"/>
      <c r="AA14" s="150"/>
    </row>
    <row r="15" spans="1:33" x14ac:dyDescent="0.2">
      <c r="G15" s="201"/>
      <c r="H15" s="150"/>
      <c r="I15" s="178"/>
      <c r="J15" s="178"/>
      <c r="K15" s="178"/>
      <c r="L15" s="201"/>
      <c r="M15" s="201"/>
      <c r="N15" s="201"/>
      <c r="O15" s="201"/>
      <c r="P15" s="201"/>
      <c r="Q15" s="201"/>
      <c r="R15" s="150"/>
      <c r="S15" s="150"/>
      <c r="T15" s="150"/>
      <c r="U15" s="150"/>
      <c r="V15" s="179"/>
      <c r="W15" s="179"/>
      <c r="X15" s="179"/>
      <c r="Y15" s="179"/>
      <c r="Z15" s="179"/>
      <c r="AA15" s="150"/>
    </row>
    <row r="16" spans="1:33" x14ac:dyDescent="0.2">
      <c r="G16" s="201"/>
      <c r="H16" s="150"/>
      <c r="I16" s="178"/>
      <c r="J16" s="178"/>
      <c r="K16" s="178"/>
      <c r="L16" s="201"/>
      <c r="M16" s="201"/>
      <c r="N16" s="201"/>
      <c r="O16" s="201"/>
      <c r="P16" s="201"/>
      <c r="Q16" s="201"/>
      <c r="R16" s="150"/>
      <c r="S16" s="150"/>
      <c r="T16" s="150"/>
      <c r="U16" s="150"/>
      <c r="V16" s="179"/>
      <c r="W16" s="179"/>
      <c r="X16" s="179"/>
      <c r="Y16" s="179"/>
      <c r="Z16" s="179"/>
      <c r="AA16" s="150"/>
    </row>
    <row r="17" spans="7:27" x14ac:dyDescent="0.2">
      <c r="G17" s="201"/>
      <c r="H17" s="150"/>
      <c r="I17" s="178"/>
      <c r="J17" s="178"/>
      <c r="K17" s="178"/>
      <c r="L17" s="201"/>
      <c r="M17" s="201"/>
      <c r="N17" s="201"/>
      <c r="O17" s="201"/>
      <c r="P17" s="201"/>
      <c r="Q17" s="201"/>
      <c r="R17" s="150"/>
      <c r="S17" s="150"/>
      <c r="T17" s="150"/>
      <c r="U17" s="150"/>
      <c r="V17" s="179"/>
      <c r="W17" s="179"/>
      <c r="X17" s="179"/>
      <c r="Y17" s="179"/>
      <c r="Z17" s="179"/>
      <c r="AA17" s="150"/>
    </row>
    <row r="18" spans="7:27" x14ac:dyDescent="0.2">
      <c r="G18" s="201"/>
      <c r="H18" s="150"/>
      <c r="I18" s="178"/>
      <c r="J18" s="178"/>
      <c r="K18" s="178"/>
      <c r="L18" s="201"/>
      <c r="M18" s="201"/>
      <c r="N18" s="201"/>
      <c r="O18" s="201"/>
      <c r="P18" s="201"/>
      <c r="Q18" s="201"/>
      <c r="R18" s="150"/>
      <c r="S18" s="150"/>
      <c r="T18" s="150"/>
      <c r="U18" s="150"/>
      <c r="V18" s="179"/>
      <c r="W18" s="179"/>
      <c r="X18" s="179"/>
      <c r="Y18" s="179"/>
      <c r="Z18" s="179"/>
      <c r="AA18" s="150"/>
    </row>
    <row r="19" spans="7:27" x14ac:dyDescent="0.2">
      <c r="G19" s="201"/>
      <c r="H19" s="150"/>
      <c r="I19" s="178"/>
      <c r="J19" s="178"/>
      <c r="K19" s="178"/>
      <c r="L19" s="201"/>
      <c r="M19" s="201"/>
      <c r="N19" s="201"/>
      <c r="O19" s="201"/>
      <c r="P19" s="201"/>
      <c r="Q19" s="201"/>
      <c r="R19" s="150"/>
      <c r="S19" s="150"/>
      <c r="T19" s="150"/>
      <c r="U19" s="150"/>
      <c r="V19" s="179"/>
      <c r="W19" s="179"/>
      <c r="X19" s="179"/>
      <c r="Y19" s="179"/>
      <c r="Z19" s="179"/>
      <c r="AA19" s="150"/>
    </row>
    <row r="20" spans="7:27" x14ac:dyDescent="0.2">
      <c r="G20" s="201"/>
      <c r="H20" s="150"/>
      <c r="I20" s="178"/>
      <c r="J20" s="178"/>
      <c r="K20" s="178"/>
      <c r="L20" s="201"/>
      <c r="M20" s="201"/>
      <c r="N20" s="201"/>
      <c r="O20" s="201"/>
      <c r="P20" s="201"/>
      <c r="Q20" s="201"/>
      <c r="R20" s="150"/>
      <c r="S20" s="150"/>
      <c r="T20" s="150"/>
      <c r="U20" s="150"/>
      <c r="V20" s="179"/>
      <c r="W20" s="179"/>
      <c r="X20" s="179"/>
      <c r="Y20" s="179"/>
      <c r="Z20" s="179"/>
      <c r="AA20" s="150"/>
    </row>
    <row r="21" spans="7:27" x14ac:dyDescent="0.2">
      <c r="G21" s="201"/>
      <c r="H21" s="150"/>
      <c r="I21" s="178"/>
      <c r="J21" s="178"/>
      <c r="K21" s="178"/>
      <c r="L21" s="201"/>
      <c r="M21" s="201"/>
      <c r="N21" s="201"/>
      <c r="O21" s="201"/>
      <c r="P21" s="201"/>
      <c r="Q21" s="201"/>
      <c r="R21" s="150"/>
      <c r="S21" s="150"/>
      <c r="T21" s="150"/>
      <c r="U21" s="150"/>
      <c r="V21" s="179"/>
      <c r="W21" s="179"/>
      <c r="X21" s="179"/>
      <c r="Y21" s="179"/>
      <c r="Z21" s="179"/>
      <c r="AA21" s="150"/>
    </row>
    <row r="22" spans="7:27" x14ac:dyDescent="0.2">
      <c r="G22" s="201"/>
      <c r="H22" s="150"/>
      <c r="I22" s="178"/>
      <c r="J22" s="178"/>
      <c r="K22" s="178"/>
      <c r="L22" s="201"/>
      <c r="M22" s="201"/>
      <c r="N22" s="201"/>
      <c r="O22" s="201"/>
      <c r="P22" s="201"/>
      <c r="Q22" s="201"/>
      <c r="R22" s="150"/>
      <c r="S22" s="150"/>
      <c r="T22" s="150"/>
      <c r="U22" s="150"/>
      <c r="V22" s="179"/>
      <c r="W22" s="179"/>
      <c r="X22" s="179"/>
      <c r="Y22" s="179"/>
      <c r="Z22" s="179"/>
      <c r="AA22" s="150"/>
    </row>
    <row r="23" spans="7:27" x14ac:dyDescent="0.2">
      <c r="G23" s="201"/>
      <c r="H23" s="150"/>
      <c r="I23" s="178"/>
      <c r="J23" s="178"/>
      <c r="K23" s="178"/>
      <c r="L23" s="201"/>
      <c r="M23" s="201"/>
      <c r="N23" s="201"/>
      <c r="O23" s="201"/>
      <c r="P23" s="201"/>
      <c r="Q23" s="201"/>
      <c r="R23" s="150"/>
      <c r="S23" s="150"/>
      <c r="T23" s="150"/>
      <c r="U23" s="150"/>
      <c r="V23" s="179"/>
      <c r="W23" s="179"/>
      <c r="X23" s="179"/>
      <c r="Y23" s="179"/>
      <c r="Z23" s="179"/>
      <c r="AA23" s="150"/>
    </row>
    <row r="24" spans="7:27" x14ac:dyDescent="0.2">
      <c r="G24" s="201"/>
      <c r="H24" s="150"/>
      <c r="I24" s="178"/>
      <c r="J24" s="178"/>
      <c r="K24" s="178"/>
      <c r="L24" s="201"/>
      <c r="M24" s="201"/>
      <c r="N24" s="201"/>
      <c r="O24" s="201"/>
      <c r="P24" s="201"/>
      <c r="Q24" s="201"/>
      <c r="R24" s="150"/>
      <c r="S24" s="150"/>
      <c r="T24" s="150"/>
      <c r="U24" s="150"/>
      <c r="V24" s="179"/>
      <c r="W24" s="179"/>
      <c r="X24" s="179"/>
      <c r="Y24" s="179"/>
      <c r="Z24" s="179"/>
      <c r="AA24" s="150"/>
    </row>
    <row r="25" spans="7:27" x14ac:dyDescent="0.2">
      <c r="G25" s="201"/>
      <c r="H25" s="150"/>
      <c r="I25" s="178"/>
      <c r="J25" s="178"/>
      <c r="K25" s="178"/>
      <c r="L25" s="201"/>
      <c r="M25" s="201"/>
      <c r="N25" s="201"/>
      <c r="O25" s="201"/>
      <c r="P25" s="201"/>
      <c r="Q25" s="201"/>
      <c r="R25" s="150"/>
      <c r="S25" s="150"/>
      <c r="T25" s="150"/>
      <c r="U25" s="150"/>
      <c r="V25" s="179"/>
      <c r="W25" s="179"/>
      <c r="X25" s="179"/>
      <c r="Y25" s="179"/>
      <c r="Z25" s="179"/>
      <c r="AA25" s="150"/>
    </row>
  </sheetData>
  <mergeCells count="10">
    <mergeCell ref="X3:AA3"/>
    <mergeCell ref="A2:AC2"/>
    <mergeCell ref="A3:A4"/>
    <mergeCell ref="B3:B4"/>
    <mergeCell ref="C3:C4"/>
    <mergeCell ref="D3:D4"/>
    <mergeCell ref="E3:E4"/>
    <mergeCell ref="F3:F4"/>
    <mergeCell ref="G3:H3"/>
    <mergeCell ref="L3:V3"/>
  </mergeCells>
  <pageMargins left="0.39370078740157483" right="0" top="0.19685039370078741" bottom="0" header="0.51181102362204722" footer="0.51181102362204722"/>
  <pageSetup paperSize="8" scale="6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K6"/>
  <sheetViews>
    <sheetView tabSelected="1" zoomScale="86" zoomScaleNormal="86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7" sqref="A7:XFD17"/>
    </sheetView>
  </sheetViews>
  <sheetFormatPr defaultRowHeight="15" x14ac:dyDescent="0.25"/>
  <cols>
    <col min="1" max="1" width="5.140625" style="263" customWidth="1"/>
    <col min="2" max="2" width="30" style="263" customWidth="1"/>
    <col min="3" max="3" width="12.28515625" style="263" customWidth="1"/>
    <col min="4" max="5" width="15.140625" style="263" customWidth="1"/>
    <col min="6" max="6" width="31.140625" style="263" customWidth="1"/>
    <col min="7" max="7" width="13.140625" style="267" hidden="1" customWidth="1"/>
    <col min="8" max="8" width="13.140625" style="268" customWidth="1"/>
    <col min="9" max="9" width="13.140625" style="263" customWidth="1"/>
    <col min="10" max="10" width="15.85546875" style="263" customWidth="1"/>
    <col min="11" max="11" width="16" style="263" customWidth="1"/>
    <col min="12" max="12" width="16.42578125" style="263" customWidth="1"/>
    <col min="13" max="14" width="9.140625" style="263"/>
    <col min="15" max="15" width="14.85546875" style="263" customWidth="1"/>
    <col min="16" max="16" width="13.5703125" style="263" customWidth="1"/>
    <col min="17" max="17" width="9.140625" style="263"/>
    <col min="18" max="18" width="14" style="263" customWidth="1"/>
    <col min="19" max="19" width="15.140625" style="263" customWidth="1"/>
    <col min="20" max="20" width="12.85546875" style="263" customWidth="1"/>
    <col min="21" max="21" width="4.85546875" style="263" customWidth="1"/>
    <col min="22" max="24" width="8.5703125" style="263" customWidth="1"/>
    <col min="25" max="25" width="11" style="263" customWidth="1"/>
    <col min="26" max="27" width="9.140625" style="263" customWidth="1"/>
    <col min="28" max="35" width="9.140625" style="263"/>
    <col min="36" max="36" width="15.140625" style="265" customWidth="1"/>
    <col min="37" max="37" width="20.42578125" style="266" customWidth="1"/>
    <col min="38" max="16384" width="9.140625" style="263"/>
  </cols>
  <sheetData>
    <row r="2" spans="1:37" ht="45.75" customHeight="1" x14ac:dyDescent="0.3">
      <c r="A2" s="447" t="s">
        <v>159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262"/>
      <c r="V2" s="448" t="s">
        <v>160</v>
      </c>
      <c r="W2" s="448"/>
      <c r="X2" s="448" t="s">
        <v>161</v>
      </c>
      <c r="Y2" s="448"/>
      <c r="Z2" s="264" t="s">
        <v>162</v>
      </c>
      <c r="AA2" s="264"/>
      <c r="AB2" s="264"/>
      <c r="AE2" s="264" t="s">
        <v>163</v>
      </c>
    </row>
    <row r="3" spans="1:37" ht="15.75" thickBot="1" x14ac:dyDescent="0.3">
      <c r="R3" s="269" t="s">
        <v>183</v>
      </c>
      <c r="V3" s="263">
        <v>17</v>
      </c>
      <c r="W3" s="263">
        <v>23</v>
      </c>
      <c r="X3" s="263">
        <v>23</v>
      </c>
      <c r="Y3" s="270" t="s">
        <v>164</v>
      </c>
      <c r="Z3" s="263">
        <v>18</v>
      </c>
      <c r="AA3" s="263">
        <v>10</v>
      </c>
      <c r="AD3" s="263">
        <v>26</v>
      </c>
      <c r="AE3" s="263">
        <v>21</v>
      </c>
      <c r="AF3" s="263">
        <v>21</v>
      </c>
      <c r="AG3" s="263">
        <v>26</v>
      </c>
      <c r="AH3" s="267">
        <f>V3+W3+X3+Z3+AA3+AD3+AE3+AF3+AG3+21</f>
        <v>206</v>
      </c>
    </row>
    <row r="4" spans="1:37" ht="51.75" thickBot="1" x14ac:dyDescent="0.3">
      <c r="A4" s="271"/>
      <c r="B4" s="272" t="s">
        <v>105</v>
      </c>
      <c r="C4" s="272" t="s">
        <v>125</v>
      </c>
      <c r="D4" s="272" t="s">
        <v>106</v>
      </c>
      <c r="E4" s="272"/>
      <c r="F4" s="272" t="s">
        <v>107</v>
      </c>
      <c r="G4" s="273" t="s">
        <v>133</v>
      </c>
      <c r="H4" s="274" t="s">
        <v>165</v>
      </c>
      <c r="I4" s="275" t="s">
        <v>186</v>
      </c>
      <c r="J4" s="275" t="s">
        <v>187</v>
      </c>
      <c r="K4" s="276" t="s">
        <v>108</v>
      </c>
      <c r="L4" s="276" t="s">
        <v>101</v>
      </c>
      <c r="M4" s="275" t="s">
        <v>135</v>
      </c>
      <c r="N4" s="275" t="s">
        <v>136</v>
      </c>
      <c r="O4" s="277" t="s">
        <v>102</v>
      </c>
      <c r="P4" s="277" t="s">
        <v>103</v>
      </c>
      <c r="Q4" s="277" t="s">
        <v>166</v>
      </c>
      <c r="R4" s="277" t="s">
        <v>167</v>
      </c>
      <c r="S4" s="278" t="s">
        <v>168</v>
      </c>
      <c r="T4" s="279" t="s">
        <v>131</v>
      </c>
      <c r="V4" s="280" t="s">
        <v>169</v>
      </c>
      <c r="W4" s="280" t="s">
        <v>170</v>
      </c>
      <c r="X4" s="280" t="s">
        <v>171</v>
      </c>
      <c r="Y4" s="281" t="s">
        <v>172</v>
      </c>
      <c r="Z4" s="281" t="s">
        <v>173</v>
      </c>
      <c r="AA4" s="282" t="s">
        <v>174</v>
      </c>
      <c r="AB4" s="283" t="s">
        <v>175</v>
      </c>
      <c r="AC4" s="284" t="s">
        <v>176</v>
      </c>
      <c r="AD4" s="284" t="s">
        <v>177</v>
      </c>
      <c r="AE4" s="285" t="s">
        <v>178</v>
      </c>
      <c r="AF4" s="285" t="s">
        <v>179</v>
      </c>
      <c r="AG4" s="285" t="s">
        <v>180</v>
      </c>
      <c r="AH4" s="267"/>
      <c r="AJ4" s="286" t="s">
        <v>181</v>
      </c>
    </row>
    <row r="5" spans="1:37" ht="64.5" thickBot="1" x14ac:dyDescent="0.3">
      <c r="A5" s="455">
        <v>1</v>
      </c>
      <c r="B5" s="259" t="s">
        <v>56</v>
      </c>
      <c r="C5" s="182"/>
      <c r="D5" s="287" t="s">
        <v>109</v>
      </c>
      <c r="E5" s="287" t="s">
        <v>110</v>
      </c>
      <c r="F5" s="287" t="s">
        <v>189</v>
      </c>
      <c r="G5" s="297">
        <f>85+26</f>
        <v>111</v>
      </c>
      <c r="H5" s="298">
        <v>107.6</v>
      </c>
      <c r="I5" s="296">
        <v>34</v>
      </c>
      <c r="J5" s="296">
        <v>42</v>
      </c>
      <c r="K5" s="289">
        <f t="shared" ref="K5:K6" si="0">H5*I5/100</f>
        <v>36.583999999999996</v>
      </c>
      <c r="L5" s="289">
        <f t="shared" ref="L5:L6" si="1">J5*H5/100</f>
        <v>45.192</v>
      </c>
      <c r="M5" s="288">
        <v>89</v>
      </c>
      <c r="N5" s="288">
        <v>117</v>
      </c>
      <c r="O5" s="289">
        <f t="shared" ref="O5:P6" si="2">K5*M5</f>
        <v>3255.9759999999997</v>
      </c>
      <c r="P5" s="289">
        <f t="shared" si="2"/>
        <v>5287.4639999999999</v>
      </c>
      <c r="Q5" s="289">
        <f t="shared" ref="Q5:Q6" si="3">O5+P5</f>
        <v>8543.4399999999987</v>
      </c>
      <c r="R5" s="289">
        <f t="shared" ref="R5:R6" si="4">Q5*T5</f>
        <v>512606.39999999991</v>
      </c>
      <c r="S5" s="449">
        <f>ROUNDUP((R5+R6)/1000,1)*1000</f>
        <v>787500</v>
      </c>
      <c r="T5" s="279">
        <v>60</v>
      </c>
      <c r="V5" s="290">
        <f t="shared" ref="V5:V6" si="5">ROUND(L5*17*60/1000,2)*1000</f>
        <v>46100</v>
      </c>
      <c r="W5" s="290">
        <f t="shared" ref="W5:W6" si="6">ROUND(L5*23*60/1000,2)*1000</f>
        <v>62360</v>
      </c>
      <c r="X5" s="290">
        <f t="shared" ref="X5:X6" si="7">ROUND(L5*23*60/1000,2)*1000</f>
        <v>62360</v>
      </c>
      <c r="Y5" s="291">
        <f t="shared" ref="Y5:Y6" si="8">ROUND(((L5*7*60)+(K5*14*60))/1000,2)*1000</f>
        <v>49710</v>
      </c>
      <c r="Z5" s="291">
        <f t="shared" ref="Z5:Z6" si="9">ROUND(K5*18*60/1000,2)*1000</f>
        <v>39510</v>
      </c>
      <c r="AA5" s="291">
        <f t="shared" ref="AA5:AA6" si="10">ROUND(K5*10*60/1000,2)*1000</f>
        <v>21950</v>
      </c>
      <c r="AB5" s="290"/>
      <c r="AC5" s="290"/>
      <c r="AD5" s="290">
        <f t="shared" ref="AD5:AD6" si="11">ROUND(K5*26*60/1000,2)*1000</f>
        <v>57070</v>
      </c>
      <c r="AE5" s="290">
        <f t="shared" ref="AE5:AF6" si="12">ROUND(K5*21*60/1000,2)*1000</f>
        <v>46100</v>
      </c>
      <c r="AF5" s="290">
        <f t="shared" si="12"/>
        <v>56940</v>
      </c>
      <c r="AG5" s="290">
        <f t="shared" ref="AG5" si="13">ROUND(L5*26*60/1000,2)*1000</f>
        <v>70500</v>
      </c>
      <c r="AJ5" s="451">
        <f>SUM(V5:AG6)</f>
        <v>787500</v>
      </c>
      <c r="AK5" s="452" t="s">
        <v>182</v>
      </c>
    </row>
    <row r="6" spans="1:37" ht="44.25" customHeight="1" thickBot="1" x14ac:dyDescent="0.3">
      <c r="A6" s="456"/>
      <c r="B6" s="260"/>
      <c r="C6" s="183"/>
      <c r="D6" s="292" t="s">
        <v>111</v>
      </c>
      <c r="E6" s="292" t="s">
        <v>112</v>
      </c>
      <c r="F6" s="292" t="s">
        <v>190</v>
      </c>
      <c r="G6" s="293">
        <v>65</v>
      </c>
      <c r="H6" s="292">
        <v>105.6</v>
      </c>
      <c r="I6" s="294">
        <v>18.5</v>
      </c>
      <c r="J6" s="294">
        <v>23</v>
      </c>
      <c r="K6" s="295">
        <f t="shared" si="0"/>
        <v>19.535999999999998</v>
      </c>
      <c r="L6" s="295">
        <f t="shared" si="1"/>
        <v>24.287999999999997</v>
      </c>
      <c r="M6" s="288">
        <v>89</v>
      </c>
      <c r="N6" s="288">
        <v>117</v>
      </c>
      <c r="O6" s="295">
        <f t="shared" si="2"/>
        <v>1738.7039999999997</v>
      </c>
      <c r="P6" s="295">
        <f t="shared" si="2"/>
        <v>2841.6959999999995</v>
      </c>
      <c r="Q6" s="295">
        <f t="shared" si="3"/>
        <v>4580.3999999999996</v>
      </c>
      <c r="R6" s="289">
        <f t="shared" si="4"/>
        <v>274824</v>
      </c>
      <c r="S6" s="450"/>
      <c r="T6" s="279">
        <v>60</v>
      </c>
      <c r="V6" s="290">
        <f t="shared" si="5"/>
        <v>24770</v>
      </c>
      <c r="W6" s="290">
        <f t="shared" si="6"/>
        <v>33520</v>
      </c>
      <c r="X6" s="290">
        <f t="shared" si="7"/>
        <v>33520</v>
      </c>
      <c r="Y6" s="291">
        <f t="shared" si="8"/>
        <v>26610</v>
      </c>
      <c r="Z6" s="291">
        <f t="shared" si="9"/>
        <v>21100</v>
      </c>
      <c r="AA6" s="291">
        <f t="shared" si="10"/>
        <v>11720</v>
      </c>
      <c r="AB6" s="290"/>
      <c r="AC6" s="290"/>
      <c r="AD6" s="290">
        <f t="shared" si="11"/>
        <v>30480</v>
      </c>
      <c r="AE6" s="290">
        <f t="shared" si="12"/>
        <v>24620</v>
      </c>
      <c r="AF6" s="290">
        <f t="shared" si="12"/>
        <v>30600</v>
      </c>
      <c r="AG6" s="290">
        <f>ROUND(L6*26*60/1000,2)*1000+70</f>
        <v>37960</v>
      </c>
      <c r="AJ6" s="453"/>
      <c r="AK6" s="454"/>
    </row>
  </sheetData>
  <mergeCells count="7">
    <mergeCell ref="AJ5:AJ6"/>
    <mergeCell ref="AK5:AK6"/>
    <mergeCell ref="A5:A6"/>
    <mergeCell ref="S5:S6"/>
    <mergeCell ref="A2:S2"/>
    <mergeCell ref="V2:W2"/>
    <mergeCell ref="X2:Y2"/>
  </mergeCells>
  <pageMargins left="0.39370078740157483" right="0" top="0.15748031496062992" bottom="0" header="0.31496062992125984" footer="0.31496062992125984"/>
  <pageSetup paperSize="8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ст.211, 213-школы </vt:lpstr>
      <vt:lpstr>221,212,222 (2)</vt:lpstr>
      <vt:lpstr>225 (2)</vt:lpstr>
      <vt:lpstr>226</vt:lpstr>
      <vt:lpstr>227 утв</vt:lpstr>
      <vt:lpstr>290</vt:lpstr>
      <vt:lpstr>312</vt:lpstr>
      <vt:lpstr>340 </vt:lpstr>
      <vt:lpstr>343,2</vt:lpstr>
      <vt:lpstr>'221,212,222 (2)'!Область_печати</vt:lpstr>
      <vt:lpstr>'226'!Область_печати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роо</cp:lastModifiedBy>
  <cp:lastPrinted>2024-10-24T09:53:36Z</cp:lastPrinted>
  <dcterms:created xsi:type="dcterms:W3CDTF">2015-11-06T03:39:16Z</dcterms:created>
  <dcterms:modified xsi:type="dcterms:W3CDTF">2025-01-30T13:01:51Z</dcterms:modified>
</cp:coreProperties>
</file>