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75" windowWidth="20730" windowHeight="11760" activeTab="5"/>
  </bookViews>
  <sheets>
    <sheet name="МР и ГО (с 01.09.21г)" sheetId="2" r:id="rId1"/>
    <sheet name="МР и ГО" sheetId="1" state="hidden" r:id="rId2"/>
    <sheet name="МР и ГО (с 01.01.2022г)" sheetId="3" state="hidden" r:id="rId3"/>
    <sheet name="МР и ГО (с 01.01.2022г) (2)" sheetId="5" r:id="rId4"/>
    <sheet name="МР и ГО (2023г)" sheetId="6" r:id="rId5"/>
    <sheet name="МР и ГО (2024г)" sheetId="7" r:id="rId6"/>
    <sheet name="МР и ГО (22г)" sheetId="4" state="hidden" r:id="rId7"/>
  </sheets>
  <definedNames>
    <definedName name="_xlnm.Print_Titles" localSheetId="1">'МР и ГО'!$3:$3</definedName>
    <definedName name="_xlnm.Print_Titles" localSheetId="4">'МР и ГО (2023г)'!$3:$3</definedName>
    <definedName name="_xlnm.Print_Titles" localSheetId="5">'МР и ГО (2024г)'!$3:$3</definedName>
    <definedName name="_xlnm.Print_Titles" localSheetId="6">'МР и ГО (22г)'!$3:$3</definedName>
    <definedName name="_xlnm.Print_Titles" localSheetId="2">'МР и ГО (с 01.01.2022г)'!$3:$3</definedName>
    <definedName name="_xlnm.Print_Titles" localSheetId="3">'МР и ГО (с 01.01.2022г) (2)'!$3:$3</definedName>
    <definedName name="_xlnm.Print_Titles" localSheetId="0">'МР и ГО (с 01.09.21г)'!$3:$3</definedName>
  </definedNames>
  <calcPr calcId="152511"/>
</workbook>
</file>

<file path=xl/calcChain.xml><?xml version="1.0" encoding="utf-8"?>
<calcChain xmlns="http://schemas.openxmlformats.org/spreadsheetml/2006/main">
  <c r="F13" i="7" l="1"/>
  <c r="E13" i="7"/>
  <c r="F12" i="7"/>
  <c r="E12" i="7"/>
  <c r="F9" i="7"/>
  <c r="E9" i="7"/>
  <c r="F8" i="7"/>
  <c r="E8" i="7"/>
  <c r="F4" i="7"/>
  <c r="E4" i="7"/>
  <c r="F13" i="6"/>
  <c r="E13" i="6"/>
  <c r="F12" i="6"/>
  <c r="E12" i="6"/>
  <c r="F9" i="6"/>
  <c r="E9" i="6"/>
  <c r="F8" i="6"/>
  <c r="E8" i="6"/>
  <c r="F4" i="6"/>
  <c r="E4" i="6"/>
  <c r="F13" i="5"/>
  <c r="E13" i="5"/>
  <c r="F12" i="5"/>
  <c r="E12" i="5"/>
  <c r="F9" i="5"/>
  <c r="E9" i="5"/>
  <c r="F8" i="5"/>
  <c r="E8" i="5"/>
  <c r="F4" i="5"/>
  <c r="E4" i="5"/>
  <c r="I11" i="7" l="1"/>
  <c r="L11" i="7" s="1"/>
  <c r="I11" i="6"/>
  <c r="L11" i="6" s="1"/>
  <c r="J9" i="5"/>
  <c r="J9" i="6"/>
  <c r="J9" i="7"/>
  <c r="M13" i="7"/>
  <c r="K13" i="7"/>
  <c r="J13" i="7"/>
  <c r="L13" i="7"/>
  <c r="M12" i="7"/>
  <c r="L12" i="7"/>
  <c r="K12" i="7"/>
  <c r="M11" i="7"/>
  <c r="K11" i="7"/>
  <c r="M10" i="7"/>
  <c r="K10" i="7"/>
  <c r="I10" i="7"/>
  <c r="L10" i="7" s="1"/>
  <c r="M9" i="7"/>
  <c r="L9" i="7"/>
  <c r="K9" i="7"/>
  <c r="M8" i="7"/>
  <c r="L8" i="7"/>
  <c r="K8" i="7"/>
  <c r="I7" i="7"/>
  <c r="L7" i="7" s="1"/>
  <c r="G7" i="7"/>
  <c r="K6" i="7"/>
  <c r="I6" i="7"/>
  <c r="L6" i="7" s="1"/>
  <c r="G6" i="7"/>
  <c r="M6" i="7" s="1"/>
  <c r="K5" i="7"/>
  <c r="I5" i="7"/>
  <c r="L5" i="7" s="1"/>
  <c r="G5" i="7"/>
  <c r="M5" i="7" s="1"/>
  <c r="I4" i="7"/>
  <c r="H4" i="7"/>
  <c r="G4" i="7"/>
  <c r="M4" i="7" s="1"/>
  <c r="L4" i="7"/>
  <c r="K4" i="7"/>
  <c r="H4" i="6"/>
  <c r="G7" i="6"/>
  <c r="M7" i="6" s="1"/>
  <c r="H7" i="6"/>
  <c r="G5" i="6"/>
  <c r="M5" i="6" s="1"/>
  <c r="I10" i="6"/>
  <c r="L10" i="6" s="1"/>
  <c r="I7" i="6"/>
  <c r="I5" i="6"/>
  <c r="K13" i="6"/>
  <c r="L12" i="6"/>
  <c r="K12" i="6"/>
  <c r="K9" i="6"/>
  <c r="I4" i="6"/>
  <c r="G4" i="6" s="1"/>
  <c r="M4" i="6" s="1"/>
  <c r="L4" i="6"/>
  <c r="K4" i="6"/>
  <c r="M13" i="6"/>
  <c r="J13" i="6"/>
  <c r="L13" i="6"/>
  <c r="M12" i="6"/>
  <c r="M11" i="6"/>
  <c r="K11" i="6"/>
  <c r="M10" i="6"/>
  <c r="K10" i="6"/>
  <c r="M9" i="6"/>
  <c r="M8" i="6"/>
  <c r="L8" i="6"/>
  <c r="K8" i="6"/>
  <c r="L7" i="6"/>
  <c r="K6" i="6"/>
  <c r="I6" i="6"/>
  <c r="G6" i="6" s="1"/>
  <c r="M6" i="6" s="1"/>
  <c r="L5" i="6"/>
  <c r="K5" i="6"/>
  <c r="K13" i="5"/>
  <c r="K12" i="5"/>
  <c r="K9" i="5"/>
  <c r="L8" i="5"/>
  <c r="L9" i="5"/>
  <c r="L12" i="5"/>
  <c r="K8" i="5"/>
  <c r="K4" i="5"/>
  <c r="M13" i="5"/>
  <c r="J13" i="5"/>
  <c r="M12" i="5"/>
  <c r="M11" i="5"/>
  <c r="L11" i="5"/>
  <c r="K11" i="5"/>
  <c r="M10" i="5"/>
  <c r="L10" i="5"/>
  <c r="K10" i="5"/>
  <c r="M9" i="5"/>
  <c r="M8" i="5"/>
  <c r="I7" i="5"/>
  <c r="L7" i="5" s="1"/>
  <c r="G7" i="5"/>
  <c r="M7" i="5" s="1"/>
  <c r="K6" i="5"/>
  <c r="I6" i="5"/>
  <c r="L6" i="5" s="1"/>
  <c r="G6" i="5"/>
  <c r="M6" i="5" s="1"/>
  <c r="K5" i="5"/>
  <c r="I5" i="5"/>
  <c r="L5" i="5" s="1"/>
  <c r="G5" i="5"/>
  <c r="M5" i="5" s="1"/>
  <c r="I4" i="5"/>
  <c r="H4" i="5" s="1"/>
  <c r="H7" i="5" l="1"/>
  <c r="L4" i="5"/>
  <c r="L13" i="5"/>
  <c r="H5" i="6"/>
  <c r="H7" i="7"/>
  <c r="M7" i="7"/>
  <c r="H5" i="7"/>
  <c r="L9" i="6"/>
  <c r="L6" i="6"/>
  <c r="G4" i="5"/>
  <c r="M4" i="5" s="1"/>
  <c r="H5" i="5"/>
  <c r="I4" i="4" l="1"/>
  <c r="G4" i="4"/>
  <c r="H4" i="4" s="1"/>
  <c r="M4" i="4" s="1"/>
  <c r="F13" i="4"/>
  <c r="E13" i="4"/>
  <c r="F12" i="4"/>
  <c r="L12" i="4" s="1"/>
  <c r="E12" i="4"/>
  <c r="F9" i="4"/>
  <c r="E9" i="4"/>
  <c r="F8" i="4"/>
  <c r="L8" i="4" s="1"/>
  <c r="E8" i="4"/>
  <c r="F4" i="4"/>
  <c r="E4" i="4"/>
  <c r="K4" i="4" s="1"/>
  <c r="K13" i="4"/>
  <c r="M12" i="4"/>
  <c r="K12" i="4"/>
  <c r="M11" i="4"/>
  <c r="L11" i="4"/>
  <c r="K11" i="4"/>
  <c r="M10" i="4"/>
  <c r="L10" i="4"/>
  <c r="K10" i="4"/>
  <c r="K9" i="4"/>
  <c r="M8" i="4"/>
  <c r="K8" i="4"/>
  <c r="K6" i="4"/>
  <c r="I6" i="4"/>
  <c r="L6" i="4" s="1"/>
  <c r="H6" i="4"/>
  <c r="M6" i="4" s="1"/>
  <c r="G6" i="4"/>
  <c r="K5" i="4"/>
  <c r="I5" i="4"/>
  <c r="L5" i="4" s="1"/>
  <c r="H5" i="4"/>
  <c r="M5" i="4" s="1"/>
  <c r="G5" i="4"/>
  <c r="L4" i="4"/>
  <c r="G4" i="1"/>
  <c r="I4" i="3"/>
  <c r="G4" i="3" s="1"/>
  <c r="J13" i="3"/>
  <c r="J9" i="3"/>
  <c r="H4" i="3" l="1"/>
  <c r="J9" i="4"/>
  <c r="L9" i="4" s="1"/>
  <c r="J13" i="4"/>
  <c r="L13" i="4" s="1"/>
  <c r="F13" i="3" l="1"/>
  <c r="E13" i="3"/>
  <c r="F12" i="3"/>
  <c r="E12" i="3"/>
  <c r="F9" i="3"/>
  <c r="E9" i="3"/>
  <c r="F8" i="3"/>
  <c r="E8" i="3"/>
  <c r="F4" i="3"/>
  <c r="E4" i="3"/>
  <c r="I7" i="3" l="1"/>
  <c r="L7" i="3" s="1"/>
  <c r="G7" i="3"/>
  <c r="H7" i="3" s="1"/>
  <c r="G5" i="3"/>
  <c r="H5" i="3" s="1"/>
  <c r="I5" i="3"/>
  <c r="M13" i="3" l="1"/>
  <c r="K13" i="3"/>
  <c r="M12" i="3"/>
  <c r="K12" i="3"/>
  <c r="L12" i="3"/>
  <c r="M11" i="3"/>
  <c r="L11" i="3"/>
  <c r="K11" i="3"/>
  <c r="M10" i="3"/>
  <c r="L10" i="3"/>
  <c r="K10" i="3"/>
  <c r="M9" i="3"/>
  <c r="K9" i="3"/>
  <c r="L9" i="3"/>
  <c r="M8" i="3"/>
  <c r="L8" i="3"/>
  <c r="K8" i="3"/>
  <c r="M7" i="3"/>
  <c r="K6" i="3"/>
  <c r="I6" i="3"/>
  <c r="G6" i="3" s="1"/>
  <c r="M6" i="3" s="1"/>
  <c r="M5" i="3"/>
  <c r="L5" i="3"/>
  <c r="K5" i="3"/>
  <c r="M4" i="3"/>
  <c r="L4" i="3"/>
  <c r="K4" i="3"/>
  <c r="L6" i="3" l="1"/>
  <c r="L13" i="3"/>
  <c r="M13" i="2"/>
  <c r="M12" i="2"/>
  <c r="M11" i="2"/>
  <c r="M10" i="2"/>
  <c r="M9" i="2"/>
  <c r="M8" i="2"/>
  <c r="M7" i="2"/>
  <c r="M6" i="2"/>
  <c r="M5" i="2"/>
  <c r="M4" i="2"/>
  <c r="F13" i="2"/>
  <c r="E13" i="2"/>
  <c r="K13" i="2" s="1"/>
  <c r="F12" i="2"/>
  <c r="L12" i="2" s="1"/>
  <c r="E12" i="2"/>
  <c r="L11" i="2"/>
  <c r="K11" i="2"/>
  <c r="L10" i="2"/>
  <c r="K10" i="2"/>
  <c r="F9" i="2"/>
  <c r="E9" i="2"/>
  <c r="K9" i="2" s="1"/>
  <c r="F8" i="2"/>
  <c r="L8" i="2" s="1"/>
  <c r="E8" i="2"/>
  <c r="K8" i="2" s="1"/>
  <c r="K6" i="2"/>
  <c r="I6" i="2"/>
  <c r="L6" i="2" s="1"/>
  <c r="K5" i="2"/>
  <c r="I5" i="2"/>
  <c r="L5" i="2" s="1"/>
  <c r="I4" i="2"/>
  <c r="F4" i="2"/>
  <c r="L4" i="2" s="1"/>
  <c r="E4" i="2"/>
  <c r="K4" i="2" s="1"/>
  <c r="G6" i="1"/>
  <c r="I6" i="1"/>
  <c r="H6" i="1" s="1"/>
  <c r="D4" i="2" l="1"/>
  <c r="D12" i="2"/>
  <c r="D8" i="2"/>
  <c r="D13" i="2"/>
  <c r="J13" i="2" s="1"/>
  <c r="L13" i="2" s="1"/>
  <c r="K12" i="2"/>
  <c r="D9" i="2"/>
  <c r="J9" i="2" s="1"/>
  <c r="L9" i="2" s="1"/>
  <c r="M6" i="1" l="1"/>
  <c r="L6" i="1"/>
  <c r="K6" i="1"/>
  <c r="M11" i="1" l="1"/>
  <c r="L11" i="1"/>
  <c r="K11" i="1"/>
  <c r="F13" i="1"/>
  <c r="E13" i="1"/>
  <c r="K13" i="1" s="1"/>
  <c r="D13" i="1"/>
  <c r="J13" i="1" s="1"/>
  <c r="F9" i="1"/>
  <c r="E9" i="1"/>
  <c r="F12" i="1"/>
  <c r="E12" i="1"/>
  <c r="F8" i="1"/>
  <c r="E8" i="1"/>
  <c r="D8" i="1"/>
  <c r="G5" i="1"/>
  <c r="I5" i="1"/>
  <c r="L5" i="1" s="1"/>
  <c r="I4" i="1"/>
  <c r="H4" i="1" s="1"/>
  <c r="F4" i="1"/>
  <c r="L4" i="1" s="1"/>
  <c r="E4" i="1"/>
  <c r="D4" i="1" s="1"/>
  <c r="H5" i="1" l="1"/>
  <c r="M5" i="1" s="1"/>
  <c r="D12" i="1"/>
  <c r="D9" i="1"/>
  <c r="J9" i="1" s="1"/>
  <c r="L9" i="1" s="1"/>
  <c r="K9" i="1"/>
  <c r="L13" i="1"/>
  <c r="M4" i="1"/>
  <c r="L10" i="1"/>
  <c r="M10" i="1"/>
  <c r="K10" i="1"/>
  <c r="L12" i="1" l="1"/>
  <c r="K5" i="1"/>
  <c r="K8" i="1"/>
  <c r="L8" i="1"/>
  <c r="M8" i="1"/>
  <c r="K12" i="1"/>
  <c r="M12" i="1"/>
  <c r="K4" i="1"/>
</calcChain>
</file>

<file path=xl/sharedStrings.xml><?xml version="1.0" encoding="utf-8"?>
<sst xmlns="http://schemas.openxmlformats.org/spreadsheetml/2006/main" count="374" uniqueCount="49">
  <si>
    <t>категория обучающихся</t>
  </si>
  <si>
    <t>итого</t>
  </si>
  <si>
    <t>бюджет Республики Башкортостан</t>
  </si>
  <si>
    <t>х</t>
  </si>
  <si>
    <t>стоимость на одного обучающигося на 1 учебный день - всего</t>
  </si>
  <si>
    <t>местный бюджет</t>
  </si>
  <si>
    <t>Обучающиеся с ОВЗ и дети-инвалиды</t>
  </si>
  <si>
    <t>Остальные категории обучающиеся (кроме обучающихся с ОВЗ и детей-инвалидов и из многодетных малообеспеченных семей)</t>
  </si>
  <si>
    <t xml:space="preserve">Итого </t>
  </si>
  <si>
    <t>федеральный бюджет</t>
  </si>
  <si>
    <t xml:space="preserve">федеральный бюджет
</t>
  </si>
  <si>
    <t xml:space="preserve">бюджет Республики Башкортостан
</t>
  </si>
  <si>
    <t>Обучающиеся из многодетных малообеспеченных семей, кроме обучающихся с ОВЗ и детей-инвалидов</t>
  </si>
  <si>
    <t>121,66 рублей</t>
  </si>
  <si>
    <t xml:space="preserve">бюджет Республики Башкортостан софинансирование на повышение стоимости для 1-4 кл., учащихся во 2 смену  </t>
  </si>
  <si>
    <t>местный бюджет в соответствии с СанПиН</t>
  </si>
  <si>
    <t>Обучающиеся по образовательным программам начального общего образования (1-4 кл.) (завтрак+обед)</t>
  </si>
  <si>
    <t>Обучающиеся по образовательным программам основного и среднего общего образования (5-11 (12)кл.)
(завтрак+обед)</t>
  </si>
  <si>
    <t>138,52 рублей</t>
  </si>
  <si>
    <t>57,43 рублей</t>
  </si>
  <si>
    <t>Обучающиеся по образовательным программам начального общего образования (1-4 кл.) (завтрак - 1 смена)</t>
  </si>
  <si>
    <t>Обучающиеся по образовательным программам начального общего образования (1-4 кл.)   (обед - 2 смена)</t>
  </si>
  <si>
    <t>64,23 рублей</t>
  </si>
  <si>
    <t>64,32 рублей</t>
  </si>
  <si>
    <t xml:space="preserve">Обучающиеся по образовательным программам основного и среднего общего образования (5-11 (12)кл.) (завтрак - 1 смена)
</t>
  </si>
  <si>
    <t xml:space="preserve">Обучающиеся по образовательным программам основного и среднего общего образования (5-11 (12)кл.) (обед - 2 смена)
</t>
  </si>
  <si>
    <t>74,20 рублей</t>
  </si>
  <si>
    <t>Питание обучающихся 1-4 классов (R3040)</t>
  </si>
  <si>
    <t>Распределение расходов по организации питания по источникам финансирования с 1 сентября 2021 года</t>
  </si>
  <si>
    <t>Обучающиеся на дому (1-4 кл.)</t>
  </si>
  <si>
    <t>Обучающиеся на дому (5-11 кл.)</t>
  </si>
  <si>
    <t>бюджет Республики Башкортостан софинансирование меньше или равно 90%</t>
  </si>
  <si>
    <t>местный бюджет финансирование больше и или равно 10%</t>
  </si>
  <si>
    <t>в том числе в соответствии с САНПИН</t>
  </si>
  <si>
    <t>Категория обучающихся</t>
  </si>
  <si>
    <t>Стоимость на одного обучающигося на 1 учебный день - всего</t>
  </si>
  <si>
    <t>Распределение расходов по организации питания по источникам финансирования с 1 сентября 2021 года, в рублях</t>
  </si>
  <si>
    <t>Бюджет Республики Башкортостан софинансирование меньше или равно 90%</t>
  </si>
  <si>
    <t xml:space="preserve">Бюджет Республики Башкортостан - софинансирование на повышение стоимости для 1-4 кл., учащихся во 2 смену  </t>
  </si>
  <si>
    <t>Местный бюджет - финансирование больше или равно 10%</t>
  </si>
  <si>
    <t>Распределение расходов по организации питания по источникам финансирования с 1 января 2022 года, в рублях</t>
  </si>
  <si>
    <t>овз</t>
  </si>
  <si>
    <t>ммс</t>
  </si>
  <si>
    <t>обычн дети</t>
  </si>
  <si>
    <t>итого 119,52 и сверх разница на местн бюджет в соотв с санпин</t>
  </si>
  <si>
    <t>итого 119,80 и сверх разница на местн бюджет в соотв с санпин</t>
  </si>
  <si>
    <t>итого 114,86 и сверх разница на местн бюджет в соотв с санпин</t>
  </si>
  <si>
    <t>Распределение расходов по организации питания по источникам финансирования с 1 января 2024 года, в рублях</t>
  </si>
  <si>
    <t>Распределение расходов по организации питания по источникам финансирования с 1 января 2023,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</si>
</sst>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 tint="0.34998626667073579"/>
      <name val="Times New Roman"/>
      <family val="2"/>
      <charset val="204"/>
    </font>
    <font>
      <b/>
      <sz val="10"/>
      <color theme="1" tint="0.34998626667073579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2" fontId="0" fillId="0" borderId="10" xfId="0" applyNumberForma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7" fillId="0" borderId="0" xfId="0" applyFont="1"/>
    <xf numFmtId="0" fontId="0" fillId="0" borderId="0" xfId="0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9" fillId="0" borderId="0" xfId="0" applyFont="1"/>
    <xf numFmtId="0" fontId="7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2" fontId="10" fillId="0" borderId="10" xfId="0" applyNumberFormat="1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4" fontId="2" fillId="0" borderId="0" xfId="0" applyNumberFormat="1" applyFont="1"/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/>
    <xf numFmtId="0" fontId="0" fillId="4" borderId="0" xfId="0" applyFill="1"/>
    <xf numFmtId="0" fontId="6" fillId="4" borderId="1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7" fillId="4" borderId="5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wrapText="1"/>
    </xf>
    <xf numFmtId="0" fontId="7" fillId="4" borderId="0" xfId="0" applyFont="1" applyFill="1"/>
    <xf numFmtId="0" fontId="0" fillId="4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/>
    </xf>
    <xf numFmtId="0" fontId="0" fillId="4" borderId="5" xfId="0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0" fontId="0" fillId="4" borderId="5" xfId="0" applyFill="1" applyBorder="1" applyAlignment="1">
      <alignment horizontal="center" wrapText="1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2" fontId="10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2" fontId="10" fillId="4" borderId="10" xfId="0" applyNumberFormat="1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 wrapText="1"/>
    </xf>
    <xf numFmtId="0" fontId="9" fillId="4" borderId="0" xfId="0" applyFont="1" applyFill="1"/>
    <xf numFmtId="0" fontId="0" fillId="4" borderId="2" xfId="0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 wrapText="1"/>
    </xf>
    <xf numFmtId="0" fontId="0" fillId="4" borderId="10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center"/>
    </xf>
    <xf numFmtId="0" fontId="0" fillId="4" borderId="10" xfId="0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0" fillId="4" borderId="0" xfId="0" applyFill="1" applyAlignment="1">
      <alignment vertical="top" wrapText="1"/>
    </xf>
    <xf numFmtId="4" fontId="8" fillId="4" borderId="5" xfId="0" applyNumberFormat="1" applyFont="1" applyFill="1" applyBorder="1" applyAlignment="1">
      <alignment horizontal="center" wrapText="1"/>
    </xf>
    <xf numFmtId="4" fontId="2" fillId="4" borderId="1" xfId="0" applyNumberFormat="1" applyFont="1" applyFill="1" applyBorder="1" applyAlignment="1">
      <alignment horizontal="center" wrapText="1"/>
    </xf>
    <xf numFmtId="4" fontId="8" fillId="4" borderId="3" xfId="0" applyNumberFormat="1" applyFont="1" applyFill="1" applyBorder="1" applyAlignment="1">
      <alignment horizontal="center" wrapText="1"/>
    </xf>
    <xf numFmtId="4" fontId="2" fillId="4" borderId="5" xfId="0" applyNumberFormat="1" applyFont="1" applyFill="1" applyBorder="1" applyAlignment="1">
      <alignment horizontal="center" wrapText="1"/>
    </xf>
    <xf numFmtId="4" fontId="8" fillId="4" borderId="1" xfId="0" applyNumberFormat="1" applyFont="1" applyFill="1" applyBorder="1" applyAlignment="1">
      <alignment horizontal="center" wrapText="1"/>
    </xf>
    <xf numFmtId="4" fontId="8" fillId="4" borderId="10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6" fillId="4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3"/>
  <sheetViews>
    <sheetView topLeftCell="A4" workbookViewId="0">
      <selection activeCell="C13" sqref="C13"/>
    </sheetView>
  </sheetViews>
  <sheetFormatPr defaultRowHeight="12.75" x14ac:dyDescent="0.2"/>
  <cols>
    <col min="1" max="1" width="29" style="84" customWidth="1"/>
    <col min="2" max="2" width="43.6640625" style="84" customWidth="1"/>
    <col min="3" max="3" width="14.83203125" style="4" customWidth="1"/>
    <col min="5" max="5" width="14.1640625" customWidth="1"/>
    <col min="6" max="6" width="14.83203125" customWidth="1"/>
    <col min="7" max="7" width="16" customWidth="1"/>
    <col min="8" max="9" width="19.5" customWidth="1"/>
    <col min="10" max="10" width="20.5" customWidth="1"/>
    <col min="11" max="11" width="14.83203125" style="4" customWidth="1"/>
    <col min="12" max="12" width="18.6640625" style="4" customWidth="1"/>
    <col min="13" max="13" width="14.5" style="4" customWidth="1"/>
  </cols>
  <sheetData>
    <row r="1" spans="1:15" ht="38.25" customHeight="1" thickBot="1" x14ac:dyDescent="0.25">
      <c r="A1" s="184" t="s">
        <v>36</v>
      </c>
      <c r="B1" s="184"/>
      <c r="C1" s="184"/>
      <c r="D1" s="184"/>
      <c r="E1" s="184"/>
      <c r="F1" s="184"/>
      <c r="G1" s="184"/>
      <c r="H1" s="184"/>
      <c r="I1" s="184"/>
      <c r="J1" s="44"/>
    </row>
    <row r="2" spans="1:15" ht="48" customHeight="1" x14ac:dyDescent="0.2">
      <c r="A2" s="185" t="s">
        <v>34</v>
      </c>
      <c r="B2" s="186"/>
      <c r="C2" s="186" t="s">
        <v>35</v>
      </c>
      <c r="D2" s="189" t="s">
        <v>27</v>
      </c>
      <c r="E2" s="190"/>
      <c r="F2" s="191"/>
      <c r="G2" s="198" t="s">
        <v>39</v>
      </c>
      <c r="H2" s="198"/>
      <c r="I2" s="186" t="s">
        <v>37</v>
      </c>
      <c r="J2" s="186" t="s">
        <v>38</v>
      </c>
      <c r="K2" s="192" t="s">
        <v>8</v>
      </c>
      <c r="L2" s="193"/>
      <c r="M2" s="194"/>
    </row>
    <row r="3" spans="1:15" s="1" customFormat="1" ht="76.900000000000006" customHeight="1" thickBot="1" x14ac:dyDescent="0.25">
      <c r="A3" s="187"/>
      <c r="B3" s="188"/>
      <c r="C3" s="188"/>
      <c r="D3" s="72" t="s">
        <v>1</v>
      </c>
      <c r="E3" s="72" t="s">
        <v>10</v>
      </c>
      <c r="F3" s="72" t="s">
        <v>11</v>
      </c>
      <c r="G3" s="76" t="s">
        <v>1</v>
      </c>
      <c r="H3" s="77" t="s">
        <v>33</v>
      </c>
      <c r="I3" s="188"/>
      <c r="J3" s="188"/>
      <c r="K3" s="74" t="s">
        <v>9</v>
      </c>
      <c r="L3" s="74" t="s">
        <v>2</v>
      </c>
      <c r="M3" s="75" t="s">
        <v>5</v>
      </c>
    </row>
    <row r="4" spans="1:15" ht="56.45" customHeight="1" x14ac:dyDescent="0.2">
      <c r="A4" s="195" t="s">
        <v>6</v>
      </c>
      <c r="B4" s="85" t="s">
        <v>16</v>
      </c>
      <c r="C4" s="110">
        <v>121.66</v>
      </c>
      <c r="D4" s="115">
        <f>E4+F4</f>
        <v>57.43</v>
      </c>
      <c r="E4" s="50">
        <f>ROUND(57.43*88%,2)</f>
        <v>50.54</v>
      </c>
      <c r="F4" s="50">
        <f>ROUND(57.43*12%,2)</f>
        <v>6.89</v>
      </c>
      <c r="G4" s="50">
        <v>12.540000000000004</v>
      </c>
      <c r="H4" s="50">
        <v>6.8000000000000043</v>
      </c>
      <c r="I4" s="50">
        <f>ROUND(57.43*90%,2)</f>
        <v>51.69</v>
      </c>
      <c r="J4" s="50"/>
      <c r="K4" s="51">
        <f>E4</f>
        <v>50.54</v>
      </c>
      <c r="L4" s="49">
        <f>F4+I4+J4</f>
        <v>58.58</v>
      </c>
      <c r="M4" s="52">
        <f>G4</f>
        <v>12.540000000000004</v>
      </c>
      <c r="O4" s="83" t="s">
        <v>46</v>
      </c>
    </row>
    <row r="5" spans="1:15" ht="60" customHeight="1" x14ac:dyDescent="0.2">
      <c r="A5" s="196"/>
      <c r="B5" s="86" t="s">
        <v>17</v>
      </c>
      <c r="C5" s="113">
        <v>138.52000000000001</v>
      </c>
      <c r="D5" s="55" t="s">
        <v>3</v>
      </c>
      <c r="E5" s="53" t="s">
        <v>3</v>
      </c>
      <c r="F5" s="53" t="s">
        <v>3</v>
      </c>
      <c r="G5" s="53">
        <v>16.260000000000005</v>
      </c>
      <c r="H5" s="53">
        <v>2.6800000000000068</v>
      </c>
      <c r="I5" s="55">
        <f>ROUND(135.84*90%,2)</f>
        <v>122.26</v>
      </c>
      <c r="J5" s="53"/>
      <c r="K5" s="56" t="str">
        <f>E5</f>
        <v>х</v>
      </c>
      <c r="L5" s="54">
        <f>I5+J5</f>
        <v>122.26</v>
      </c>
      <c r="M5" s="57">
        <f t="shared" ref="M5:M13" si="0">G5</f>
        <v>16.260000000000005</v>
      </c>
    </row>
    <row r="6" spans="1:15" ht="22.9" customHeight="1" x14ac:dyDescent="0.2">
      <c r="A6" s="196"/>
      <c r="B6" s="87" t="s">
        <v>29</v>
      </c>
      <c r="C6" s="114">
        <v>121.66</v>
      </c>
      <c r="D6" s="55"/>
      <c r="E6" s="55"/>
      <c r="F6" s="55"/>
      <c r="G6" s="55">
        <v>12.17</v>
      </c>
      <c r="H6" s="55">
        <v>0</v>
      </c>
      <c r="I6" s="55">
        <f>ROUND(121.66*90%,2)</f>
        <v>109.49</v>
      </c>
      <c r="J6" s="53"/>
      <c r="K6" s="56">
        <f>E6</f>
        <v>0</v>
      </c>
      <c r="L6" s="58">
        <f>F6+I6+J6</f>
        <v>109.49</v>
      </c>
      <c r="M6" s="59">
        <f t="shared" si="0"/>
        <v>12.17</v>
      </c>
    </row>
    <row r="7" spans="1:15" s="83" customFormat="1" ht="33.75" customHeight="1" thickBot="1" x14ac:dyDescent="0.25">
      <c r="A7" s="196"/>
      <c r="B7" s="88" t="s">
        <v>30</v>
      </c>
      <c r="C7" s="112">
        <v>138.52000000000001</v>
      </c>
      <c r="D7" s="79" t="s">
        <v>3</v>
      </c>
      <c r="E7" s="80" t="s">
        <v>3</v>
      </c>
      <c r="F7" s="80" t="s">
        <v>3</v>
      </c>
      <c r="G7" s="80">
        <v>16.260000000000005</v>
      </c>
      <c r="H7" s="80">
        <v>2.6800000000000068</v>
      </c>
      <c r="I7" s="80">
        <v>122.26</v>
      </c>
      <c r="J7" s="80"/>
      <c r="K7" s="81" t="s">
        <v>3</v>
      </c>
      <c r="L7" s="78">
        <v>122.26</v>
      </c>
      <c r="M7" s="82">
        <f t="shared" si="0"/>
        <v>16.260000000000005</v>
      </c>
    </row>
    <row r="8" spans="1:15" ht="56.45" customHeight="1" x14ac:dyDescent="0.2">
      <c r="A8" s="195" t="s">
        <v>12</v>
      </c>
      <c r="B8" s="85" t="s">
        <v>20</v>
      </c>
      <c r="C8" s="110">
        <v>57.43</v>
      </c>
      <c r="D8" s="50">
        <f>E8+F8</f>
        <v>57.43</v>
      </c>
      <c r="E8" s="50">
        <f>ROUND(57.43*88%,2)</f>
        <v>50.54</v>
      </c>
      <c r="F8" s="50">
        <f>ROUND(57.43*12%,2)</f>
        <v>6.89</v>
      </c>
      <c r="G8" s="50" t="s">
        <v>3</v>
      </c>
      <c r="H8" s="50"/>
      <c r="I8" s="48"/>
      <c r="J8" s="48"/>
      <c r="K8" s="51">
        <f t="shared" ref="K8:K13" si="1">E8</f>
        <v>50.54</v>
      </c>
      <c r="L8" s="49">
        <f>F8+I8</f>
        <v>6.89</v>
      </c>
      <c r="M8" s="52" t="str">
        <f t="shared" si="0"/>
        <v>х</v>
      </c>
    </row>
    <row r="9" spans="1:15" ht="58.9" customHeight="1" x14ac:dyDescent="0.2">
      <c r="A9" s="196"/>
      <c r="B9" s="86" t="s">
        <v>21</v>
      </c>
      <c r="C9" s="113">
        <v>64.23</v>
      </c>
      <c r="D9" s="55">
        <f>E9+F9</f>
        <v>57.43</v>
      </c>
      <c r="E9" s="55">
        <f>ROUND(57.43*88%,2)</f>
        <v>50.54</v>
      </c>
      <c r="F9" s="55">
        <f>ROUND(57.43*12%,2)</f>
        <v>6.89</v>
      </c>
      <c r="G9" s="55" t="s">
        <v>3</v>
      </c>
      <c r="H9" s="55"/>
      <c r="I9" s="53"/>
      <c r="J9" s="60">
        <f>64.23-D9</f>
        <v>6.8000000000000043</v>
      </c>
      <c r="K9" s="56">
        <f t="shared" si="1"/>
        <v>50.54</v>
      </c>
      <c r="L9" s="54">
        <f>F9+I9+J9</f>
        <v>13.690000000000005</v>
      </c>
      <c r="M9" s="57" t="str">
        <f t="shared" si="0"/>
        <v>х</v>
      </c>
    </row>
    <row r="10" spans="1:15" ht="67.900000000000006" customHeight="1" x14ac:dyDescent="0.2">
      <c r="A10" s="196"/>
      <c r="B10" s="86" t="s">
        <v>24</v>
      </c>
      <c r="C10" s="113">
        <v>64.319999999999993</v>
      </c>
      <c r="D10" s="55" t="s">
        <v>3</v>
      </c>
      <c r="E10" s="53" t="s">
        <v>3</v>
      </c>
      <c r="F10" s="53" t="s">
        <v>3</v>
      </c>
      <c r="G10" s="53" t="s">
        <v>3</v>
      </c>
      <c r="H10" s="53"/>
      <c r="I10" s="60">
        <v>64.319999999999993</v>
      </c>
      <c r="J10" s="53"/>
      <c r="K10" s="56" t="str">
        <f t="shared" si="1"/>
        <v>х</v>
      </c>
      <c r="L10" s="54">
        <f>I10</f>
        <v>64.319999999999993</v>
      </c>
      <c r="M10" s="57" t="str">
        <f t="shared" si="0"/>
        <v>х</v>
      </c>
    </row>
    <row r="11" spans="1:15" ht="69" customHeight="1" thickBot="1" x14ac:dyDescent="0.25">
      <c r="A11" s="197"/>
      <c r="B11" s="86" t="s">
        <v>25</v>
      </c>
      <c r="C11" s="116">
        <v>74.2</v>
      </c>
      <c r="D11" s="62" t="s">
        <v>3</v>
      </c>
      <c r="E11" s="63" t="s">
        <v>3</v>
      </c>
      <c r="F11" s="63" t="s">
        <v>3</v>
      </c>
      <c r="G11" s="63" t="s">
        <v>3</v>
      </c>
      <c r="H11" s="63"/>
      <c r="I11" s="64">
        <v>74.2</v>
      </c>
      <c r="J11" s="63"/>
      <c r="K11" s="65" t="str">
        <f t="shared" si="1"/>
        <v>х</v>
      </c>
      <c r="L11" s="61">
        <f>I11</f>
        <v>74.2</v>
      </c>
      <c r="M11" s="66" t="str">
        <f t="shared" si="0"/>
        <v>х</v>
      </c>
    </row>
    <row r="12" spans="1:15" ht="63" customHeight="1" x14ac:dyDescent="0.2">
      <c r="A12" s="196" t="s">
        <v>7</v>
      </c>
      <c r="B12" s="89" t="s">
        <v>20</v>
      </c>
      <c r="C12" s="111">
        <v>57.43</v>
      </c>
      <c r="D12" s="69">
        <f>E12+F12</f>
        <v>57.43</v>
      </c>
      <c r="E12" s="69">
        <f>ROUND(57.43*88%,2)</f>
        <v>50.54</v>
      </c>
      <c r="F12" s="69">
        <f>ROUND(57.43*12%,2)</f>
        <v>6.89</v>
      </c>
      <c r="G12" s="69" t="s">
        <v>3</v>
      </c>
      <c r="H12" s="69"/>
      <c r="I12" s="67" t="s">
        <v>3</v>
      </c>
      <c r="J12" s="67"/>
      <c r="K12" s="70">
        <f t="shared" si="1"/>
        <v>50.54</v>
      </c>
      <c r="L12" s="68">
        <f>F12</f>
        <v>6.89</v>
      </c>
      <c r="M12" s="71" t="str">
        <f t="shared" si="0"/>
        <v>х</v>
      </c>
    </row>
    <row r="13" spans="1:15" ht="67.900000000000006" customHeight="1" thickBot="1" x14ac:dyDescent="0.25">
      <c r="A13" s="197"/>
      <c r="B13" s="90" t="s">
        <v>21</v>
      </c>
      <c r="C13" s="116">
        <v>64.23</v>
      </c>
      <c r="D13" s="62">
        <f>E13+F13</f>
        <v>57.43</v>
      </c>
      <c r="E13" s="62">
        <f>ROUND(57.43*88%,2)</f>
        <v>50.54</v>
      </c>
      <c r="F13" s="62">
        <f>ROUND(57.43*12%,2)</f>
        <v>6.89</v>
      </c>
      <c r="G13" s="62" t="s">
        <v>3</v>
      </c>
      <c r="H13" s="62"/>
      <c r="I13" s="63"/>
      <c r="J13" s="64">
        <f>64.23-D13</f>
        <v>6.8000000000000043</v>
      </c>
      <c r="K13" s="65">
        <f t="shared" si="1"/>
        <v>50.54</v>
      </c>
      <c r="L13" s="61">
        <f>F13+I13+J13</f>
        <v>13.690000000000005</v>
      </c>
      <c r="M13" s="66" t="str">
        <f t="shared" si="0"/>
        <v>х</v>
      </c>
    </row>
  </sheetData>
  <mergeCells count="11">
    <mergeCell ref="J2:J3"/>
    <mergeCell ref="K2:M2"/>
    <mergeCell ref="A4:A7"/>
    <mergeCell ref="A8:A11"/>
    <mergeCell ref="A12:A13"/>
    <mergeCell ref="G2:H2"/>
    <mergeCell ref="A1:I1"/>
    <mergeCell ref="A2:B3"/>
    <mergeCell ref="C2:C3"/>
    <mergeCell ref="D2:F2"/>
    <mergeCell ref="I2:I3"/>
  </mergeCells>
  <pageMargins left="0.19685039370078741" right="0.19685039370078741" top="0.19685039370078741" bottom="0.19685039370078741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G4" sqref="G4:H4"/>
    </sheetView>
  </sheetViews>
  <sheetFormatPr defaultRowHeight="12.75" x14ac:dyDescent="0.2"/>
  <cols>
    <col min="1" max="1" width="22.83203125" style="1" customWidth="1"/>
    <col min="2" max="2" width="29.5" style="1" customWidth="1"/>
    <col min="3" max="3" width="14.83203125" style="4" customWidth="1"/>
    <col min="5" max="5" width="13.33203125" customWidth="1"/>
    <col min="6" max="6" width="14.83203125" customWidth="1"/>
    <col min="7" max="7" width="10.83203125" customWidth="1"/>
    <col min="8" max="8" width="13.83203125" customWidth="1"/>
    <col min="9" max="9" width="14.6640625" customWidth="1"/>
    <col min="10" max="10" width="20.5" customWidth="1"/>
    <col min="11" max="11" width="14.83203125" style="4" customWidth="1"/>
    <col min="12" max="12" width="14.33203125" style="4" customWidth="1"/>
    <col min="13" max="13" width="11.5" style="4" customWidth="1"/>
  </cols>
  <sheetData>
    <row r="1" spans="1:13" ht="38.25" customHeight="1" thickBot="1" x14ac:dyDescent="0.25">
      <c r="A1" s="184" t="s">
        <v>28</v>
      </c>
      <c r="B1" s="184"/>
      <c r="C1" s="184"/>
      <c r="D1" s="184"/>
      <c r="E1" s="184"/>
      <c r="F1" s="184"/>
      <c r="G1" s="184"/>
      <c r="H1" s="184"/>
      <c r="I1" s="184"/>
      <c r="J1" s="6"/>
    </row>
    <row r="2" spans="1:13" ht="28.5" customHeight="1" x14ac:dyDescent="0.2">
      <c r="A2" s="208" t="s">
        <v>0</v>
      </c>
      <c r="B2" s="209"/>
      <c r="C2" s="209" t="s">
        <v>4</v>
      </c>
      <c r="D2" s="216" t="s">
        <v>27</v>
      </c>
      <c r="E2" s="217"/>
      <c r="F2" s="218"/>
      <c r="G2" s="219" t="s">
        <v>32</v>
      </c>
      <c r="H2" s="204" t="s">
        <v>15</v>
      </c>
      <c r="I2" s="202" t="s">
        <v>31</v>
      </c>
      <c r="J2" s="202" t="s">
        <v>14</v>
      </c>
      <c r="K2" s="199" t="s">
        <v>8</v>
      </c>
      <c r="L2" s="200"/>
      <c r="M2" s="201"/>
    </row>
    <row r="3" spans="1:13" s="1" customFormat="1" ht="67.5" customHeight="1" thickBot="1" x14ac:dyDescent="0.25">
      <c r="A3" s="210"/>
      <c r="B3" s="211"/>
      <c r="C3" s="211"/>
      <c r="D3" s="31" t="s">
        <v>1</v>
      </c>
      <c r="E3" s="31" t="s">
        <v>10</v>
      </c>
      <c r="F3" s="31" t="s">
        <v>11</v>
      </c>
      <c r="G3" s="220"/>
      <c r="H3" s="205"/>
      <c r="I3" s="203"/>
      <c r="J3" s="203"/>
      <c r="K3" s="32" t="s">
        <v>9</v>
      </c>
      <c r="L3" s="32" t="s">
        <v>2</v>
      </c>
      <c r="M3" s="33" t="s">
        <v>5</v>
      </c>
    </row>
    <row r="4" spans="1:13" ht="72" customHeight="1" x14ac:dyDescent="0.2">
      <c r="A4" s="206" t="s">
        <v>6</v>
      </c>
      <c r="B4" s="15" t="s">
        <v>16</v>
      </c>
      <c r="C4" s="16" t="s">
        <v>13</v>
      </c>
      <c r="D4" s="17">
        <f>E4+F4</f>
        <v>57.43</v>
      </c>
      <c r="E4" s="17">
        <f>ROUND(57.43*88%,2)</f>
        <v>50.54</v>
      </c>
      <c r="F4" s="17">
        <f>ROUND(57.43*12%,2)</f>
        <v>6.89</v>
      </c>
      <c r="G4" s="17">
        <f>ROUND(57.43*10%,2)</f>
        <v>5.74</v>
      </c>
      <c r="H4" s="18">
        <f>121.66-G4-I4-D4</f>
        <v>6.8000000000000043</v>
      </c>
      <c r="I4" s="17">
        <f>ROUND(57.43*90%,2)</f>
        <v>51.69</v>
      </c>
      <c r="J4" s="17"/>
      <c r="K4" s="19">
        <f>E4</f>
        <v>50.54</v>
      </c>
      <c r="L4" s="16">
        <f>F4+I4+J4</f>
        <v>58.58</v>
      </c>
      <c r="M4" s="20">
        <f>G4+H4</f>
        <v>12.540000000000004</v>
      </c>
    </row>
    <row r="5" spans="1:13" ht="92.25" customHeight="1" x14ac:dyDescent="0.2">
      <c r="A5" s="207"/>
      <c r="B5" s="2" t="s">
        <v>17</v>
      </c>
      <c r="C5" s="9" t="s">
        <v>18</v>
      </c>
      <c r="D5" s="3" t="s">
        <v>3</v>
      </c>
      <c r="E5" s="8" t="s">
        <v>3</v>
      </c>
      <c r="F5" s="8" t="s">
        <v>3</v>
      </c>
      <c r="G5" s="3">
        <f>ROUND(135.84*10%,2)</f>
        <v>13.58</v>
      </c>
      <c r="H5" s="8">
        <f>138.52-G5-I5</f>
        <v>2.6800000000000068</v>
      </c>
      <c r="I5" s="3">
        <f>ROUND(135.84*90%,2)</f>
        <v>122.26</v>
      </c>
      <c r="J5" s="8"/>
      <c r="K5" s="5" t="str">
        <f t="shared" ref="K5:K12" si="0">E5</f>
        <v>х</v>
      </c>
      <c r="L5" s="9">
        <f>I5+J5</f>
        <v>122.26</v>
      </c>
      <c r="M5" s="21">
        <f>G5+H5</f>
        <v>16.260000000000005</v>
      </c>
    </row>
    <row r="6" spans="1:13" ht="25.5" x14ac:dyDescent="0.2">
      <c r="A6" s="207"/>
      <c r="B6" s="34" t="s">
        <v>29</v>
      </c>
      <c r="C6" s="35" t="s">
        <v>13</v>
      </c>
      <c r="D6" s="3"/>
      <c r="E6" s="3"/>
      <c r="F6" s="3"/>
      <c r="G6" s="3">
        <f>ROUND(121.66*10%,2)</f>
        <v>12.17</v>
      </c>
      <c r="H6" s="8">
        <f>121.66-G6-I6</f>
        <v>0</v>
      </c>
      <c r="I6" s="3">
        <f>ROUND(121.66*90%,2)</f>
        <v>109.49</v>
      </c>
      <c r="J6" s="8"/>
      <c r="K6" s="5">
        <f>E6</f>
        <v>0</v>
      </c>
      <c r="L6" s="35">
        <f>F6+I6+J6</f>
        <v>109.49</v>
      </c>
      <c r="M6" s="36">
        <f>G6+H6</f>
        <v>12.17</v>
      </c>
    </row>
    <row r="7" spans="1:13" s="43" customFormat="1" ht="33.75" customHeight="1" thickBot="1" x14ac:dyDescent="0.25">
      <c r="A7" s="207"/>
      <c r="B7" s="37" t="s">
        <v>30</v>
      </c>
      <c r="C7" s="38" t="s">
        <v>18</v>
      </c>
      <c r="D7" s="39" t="s">
        <v>3</v>
      </c>
      <c r="E7" s="40" t="s">
        <v>3</v>
      </c>
      <c r="F7" s="40" t="s">
        <v>3</v>
      </c>
      <c r="G7" s="40">
        <v>13.58</v>
      </c>
      <c r="H7" s="40">
        <v>2.6800000000000068</v>
      </c>
      <c r="I7" s="40">
        <v>122.26</v>
      </c>
      <c r="J7" s="40"/>
      <c r="K7" s="41" t="s">
        <v>3</v>
      </c>
      <c r="L7" s="38">
        <v>122.26</v>
      </c>
      <c r="M7" s="42">
        <v>16.260000000000005</v>
      </c>
    </row>
    <row r="8" spans="1:13" ht="70.5" customHeight="1" x14ac:dyDescent="0.2">
      <c r="A8" s="213" t="s">
        <v>12</v>
      </c>
      <c r="B8" s="15" t="s">
        <v>20</v>
      </c>
      <c r="C8" s="16" t="s">
        <v>19</v>
      </c>
      <c r="D8" s="17">
        <f>E8+F8</f>
        <v>57.43</v>
      </c>
      <c r="E8" s="17">
        <f>ROUND(57.43*88%,2)</f>
        <v>50.54</v>
      </c>
      <c r="F8" s="17">
        <f>ROUND(57.43*12%,2)</f>
        <v>6.89</v>
      </c>
      <c r="G8" s="22" t="s">
        <v>3</v>
      </c>
      <c r="H8" s="22"/>
      <c r="I8" s="22"/>
      <c r="J8" s="22"/>
      <c r="K8" s="19">
        <f t="shared" si="0"/>
        <v>50.54</v>
      </c>
      <c r="L8" s="16">
        <f t="shared" ref="L8" si="1">F8+I8</f>
        <v>6.89</v>
      </c>
      <c r="M8" s="20" t="str">
        <f t="shared" ref="M8:M12" si="2">G8</f>
        <v>х</v>
      </c>
    </row>
    <row r="9" spans="1:13" ht="70.5" customHeight="1" x14ac:dyDescent="0.2">
      <c r="A9" s="214"/>
      <c r="B9" s="2" t="s">
        <v>21</v>
      </c>
      <c r="C9" s="9" t="s">
        <v>22</v>
      </c>
      <c r="D9" s="3">
        <f>E9+F9</f>
        <v>57.43</v>
      </c>
      <c r="E9" s="3">
        <f>ROUND(57.43*88%,2)</f>
        <v>50.54</v>
      </c>
      <c r="F9" s="3">
        <f>ROUND(57.43*12%,2)</f>
        <v>6.89</v>
      </c>
      <c r="G9" s="8"/>
      <c r="H9" s="8"/>
      <c r="I9" s="8"/>
      <c r="J9" s="10">
        <f>64.23-D9</f>
        <v>6.8000000000000043</v>
      </c>
      <c r="K9" s="5">
        <f>E9</f>
        <v>50.54</v>
      </c>
      <c r="L9" s="9">
        <f>F9+I9+J9</f>
        <v>13.690000000000005</v>
      </c>
      <c r="M9" s="21" t="s">
        <v>3</v>
      </c>
    </row>
    <row r="10" spans="1:13" ht="78.75" customHeight="1" x14ac:dyDescent="0.2">
      <c r="A10" s="214"/>
      <c r="B10" s="2" t="s">
        <v>24</v>
      </c>
      <c r="C10" s="9" t="s">
        <v>23</v>
      </c>
      <c r="D10" s="3" t="s">
        <v>3</v>
      </c>
      <c r="E10" s="8" t="s">
        <v>3</v>
      </c>
      <c r="F10" s="8" t="s">
        <v>3</v>
      </c>
      <c r="G10" s="8" t="s">
        <v>3</v>
      </c>
      <c r="H10" s="8"/>
      <c r="I10" s="10">
        <v>64.319999999999993</v>
      </c>
      <c r="J10" s="8"/>
      <c r="K10" s="5" t="str">
        <f t="shared" ref="K10" si="3">E10</f>
        <v>х</v>
      </c>
      <c r="L10" s="9">
        <f>I10</f>
        <v>64.319999999999993</v>
      </c>
      <c r="M10" s="21" t="str">
        <f t="shared" ref="M10" si="4">G10</f>
        <v>х</v>
      </c>
    </row>
    <row r="11" spans="1:13" ht="78.75" customHeight="1" thickBot="1" x14ac:dyDescent="0.25">
      <c r="A11" s="215"/>
      <c r="B11" s="2" t="s">
        <v>25</v>
      </c>
      <c r="C11" s="24" t="s">
        <v>26</v>
      </c>
      <c r="D11" s="25" t="s">
        <v>3</v>
      </c>
      <c r="E11" s="26" t="s">
        <v>3</v>
      </c>
      <c r="F11" s="26" t="s">
        <v>3</v>
      </c>
      <c r="G11" s="26" t="s">
        <v>3</v>
      </c>
      <c r="H11" s="26"/>
      <c r="I11" s="30">
        <v>74.2</v>
      </c>
      <c r="J11" s="26"/>
      <c r="K11" s="27" t="str">
        <f t="shared" ref="K11" si="5">E11</f>
        <v>х</v>
      </c>
      <c r="L11" s="24">
        <f>I11</f>
        <v>74.2</v>
      </c>
      <c r="M11" s="28" t="str">
        <f t="shared" ref="M11" si="6">G11</f>
        <v>х</v>
      </c>
    </row>
    <row r="12" spans="1:13" ht="72.75" customHeight="1" x14ac:dyDescent="0.2">
      <c r="A12" s="207" t="s">
        <v>7</v>
      </c>
      <c r="B12" s="11" t="s">
        <v>20</v>
      </c>
      <c r="C12" s="12" t="s">
        <v>19</v>
      </c>
      <c r="D12" s="13">
        <f>E12+F12</f>
        <v>57.43</v>
      </c>
      <c r="E12" s="13">
        <f>ROUND(57.43*88%,2)</f>
        <v>50.54</v>
      </c>
      <c r="F12" s="13">
        <f>ROUND(57.43*12%,2)</f>
        <v>6.89</v>
      </c>
      <c r="G12" s="7" t="s">
        <v>3</v>
      </c>
      <c r="H12" s="7"/>
      <c r="I12" s="7" t="s">
        <v>3</v>
      </c>
      <c r="J12" s="7"/>
      <c r="K12" s="14">
        <f t="shared" si="0"/>
        <v>50.54</v>
      </c>
      <c r="L12" s="12">
        <f>F12</f>
        <v>6.89</v>
      </c>
      <c r="M12" s="29" t="str">
        <f t="shared" si="2"/>
        <v>х</v>
      </c>
    </row>
    <row r="13" spans="1:13" ht="89.25" customHeight="1" thickBot="1" x14ac:dyDescent="0.25">
      <c r="A13" s="212"/>
      <c r="B13" s="23" t="s">
        <v>21</v>
      </c>
      <c r="C13" s="24" t="s">
        <v>22</v>
      </c>
      <c r="D13" s="25">
        <f>E13+F13</f>
        <v>57.43</v>
      </c>
      <c r="E13" s="25">
        <f>ROUND(57.43*88%,2)</f>
        <v>50.54</v>
      </c>
      <c r="F13" s="25">
        <f>ROUND(57.43*12%,2)</f>
        <v>6.89</v>
      </c>
      <c r="G13" s="26"/>
      <c r="H13" s="26"/>
      <c r="I13" s="26"/>
      <c r="J13" s="30">
        <f>64.23-D13</f>
        <v>6.8000000000000043</v>
      </c>
      <c r="K13" s="27">
        <f>E13</f>
        <v>50.54</v>
      </c>
      <c r="L13" s="24">
        <f>F13+I13+J13</f>
        <v>13.690000000000005</v>
      </c>
      <c r="M13" s="28" t="s">
        <v>3</v>
      </c>
    </row>
  </sheetData>
  <mergeCells count="12">
    <mergeCell ref="A12:A13"/>
    <mergeCell ref="A8:A11"/>
    <mergeCell ref="A1:I1"/>
    <mergeCell ref="D2:F2"/>
    <mergeCell ref="G2:G3"/>
    <mergeCell ref="I2:I3"/>
    <mergeCell ref="K2:M2"/>
    <mergeCell ref="J2:J3"/>
    <mergeCell ref="H2:H3"/>
    <mergeCell ref="A4:A7"/>
    <mergeCell ref="A2:B3"/>
    <mergeCell ref="C2:C3"/>
  </mergeCells>
  <pageMargins left="0.19685039370078741" right="0.19685039370078741" top="0.19685039370078741" bottom="0.19685039370078741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3"/>
  <sheetViews>
    <sheetView zoomScale="85" zoomScaleNormal="85" workbookViewId="0">
      <selection activeCell="F4" sqref="F4"/>
    </sheetView>
  </sheetViews>
  <sheetFormatPr defaultRowHeight="12.75" x14ac:dyDescent="0.2"/>
  <cols>
    <col min="1" max="1" width="29" style="84" customWidth="1"/>
    <col min="2" max="2" width="43.6640625" style="84" customWidth="1"/>
    <col min="3" max="3" width="14.83203125" style="4" customWidth="1"/>
    <col min="5" max="5" width="14.1640625" customWidth="1"/>
    <col min="6" max="6" width="14.83203125" customWidth="1"/>
    <col min="7" max="7" width="16" customWidth="1"/>
    <col min="8" max="9" width="19.5" customWidth="1"/>
    <col min="10" max="10" width="28.6640625" customWidth="1"/>
    <col min="11" max="11" width="18.33203125" style="4" customWidth="1"/>
    <col min="12" max="12" width="19.5" style="4" customWidth="1"/>
    <col min="13" max="13" width="15.6640625" style="4" customWidth="1"/>
  </cols>
  <sheetData>
    <row r="1" spans="1:13" ht="38.25" customHeight="1" thickBot="1" x14ac:dyDescent="0.25">
      <c r="A1" s="184" t="s">
        <v>40</v>
      </c>
      <c r="B1" s="184"/>
      <c r="C1" s="184"/>
      <c r="D1" s="184"/>
      <c r="E1" s="184"/>
      <c r="F1" s="184"/>
      <c r="G1" s="184"/>
      <c r="H1" s="184"/>
      <c r="I1" s="184"/>
      <c r="J1" s="47"/>
    </row>
    <row r="2" spans="1:13" ht="48" customHeight="1" x14ac:dyDescent="0.2">
      <c r="A2" s="185" t="s">
        <v>34</v>
      </c>
      <c r="B2" s="186"/>
      <c r="C2" s="186" t="s">
        <v>35</v>
      </c>
      <c r="D2" s="189" t="s">
        <v>27</v>
      </c>
      <c r="E2" s="190"/>
      <c r="F2" s="191"/>
      <c r="G2" s="198" t="s">
        <v>39</v>
      </c>
      <c r="H2" s="198"/>
      <c r="I2" s="186" t="s">
        <v>37</v>
      </c>
      <c r="J2" s="186" t="s">
        <v>38</v>
      </c>
      <c r="K2" s="192" t="s">
        <v>8</v>
      </c>
      <c r="L2" s="193"/>
      <c r="M2" s="194"/>
    </row>
    <row r="3" spans="1:13" s="1" customFormat="1" ht="76.900000000000006" customHeight="1" thickBot="1" x14ac:dyDescent="0.25">
      <c r="A3" s="187"/>
      <c r="B3" s="188"/>
      <c r="C3" s="188"/>
      <c r="D3" s="73" t="s">
        <v>1</v>
      </c>
      <c r="E3" s="73" t="s">
        <v>10</v>
      </c>
      <c r="F3" s="73" t="s">
        <v>11</v>
      </c>
      <c r="G3" s="76" t="s">
        <v>1</v>
      </c>
      <c r="H3" s="77" t="s">
        <v>33</v>
      </c>
      <c r="I3" s="188"/>
      <c r="J3" s="188"/>
      <c r="K3" s="74" t="s">
        <v>9</v>
      </c>
      <c r="L3" s="74" t="s">
        <v>2</v>
      </c>
      <c r="M3" s="75" t="s">
        <v>5</v>
      </c>
    </row>
    <row r="4" spans="1:13" s="83" customFormat="1" ht="56.45" customHeight="1" x14ac:dyDescent="0.2">
      <c r="A4" s="195" t="s">
        <v>6</v>
      </c>
      <c r="B4" s="107" t="s">
        <v>16</v>
      </c>
      <c r="C4" s="106">
        <v>121.66</v>
      </c>
      <c r="D4" s="92">
        <v>59.76</v>
      </c>
      <c r="E4" s="92">
        <f>ROUND(59.76*88%,2)</f>
        <v>52.59</v>
      </c>
      <c r="F4" s="92">
        <f>ROUND(59.76*12%,2)</f>
        <v>7.17</v>
      </c>
      <c r="G4" s="92">
        <f>ROUND(59.76*10%,2)+ROUND(121.66-D4-I4-(59.76*10%),2)</f>
        <v>8.120000000000001</v>
      </c>
      <c r="H4" s="92">
        <f>ROUND(121.66-D4-I4-(59.76*10%),2)</f>
        <v>2.14</v>
      </c>
      <c r="I4" s="92">
        <f>ROUND(59.76*90%,2)</f>
        <v>53.78</v>
      </c>
      <c r="J4" s="92"/>
      <c r="K4" s="108">
        <f>E4</f>
        <v>52.59</v>
      </c>
      <c r="L4" s="106">
        <f>F4+I4+J4</f>
        <v>60.95</v>
      </c>
      <c r="M4" s="109">
        <f>G4</f>
        <v>8.120000000000001</v>
      </c>
    </row>
    <row r="5" spans="1:13" ht="60" customHeight="1" x14ac:dyDescent="0.2">
      <c r="A5" s="196"/>
      <c r="B5" s="86" t="s">
        <v>17</v>
      </c>
      <c r="C5" s="54">
        <v>141.36000000000001</v>
      </c>
      <c r="D5" s="55" t="s">
        <v>3</v>
      </c>
      <c r="E5" s="53" t="s">
        <v>3</v>
      </c>
      <c r="F5" s="53" t="s">
        <v>3</v>
      </c>
      <c r="G5" s="53">
        <f>ROUND((141.36*10%),2)</f>
        <v>14.14</v>
      </c>
      <c r="H5" s="53">
        <f>141.36-G5-I5</f>
        <v>0</v>
      </c>
      <c r="I5" s="55">
        <f>ROUND(141.36*90%,2)</f>
        <v>127.22</v>
      </c>
      <c r="J5" s="53"/>
      <c r="K5" s="56" t="str">
        <f>E5</f>
        <v>х</v>
      </c>
      <c r="L5" s="54">
        <f>I5+J5</f>
        <v>127.22</v>
      </c>
      <c r="M5" s="57">
        <f t="shared" ref="M5:M13" si="0">G5</f>
        <v>14.14</v>
      </c>
    </row>
    <row r="6" spans="1:13" s="83" customFormat="1" ht="22.9" customHeight="1" x14ac:dyDescent="0.2">
      <c r="A6" s="196"/>
      <c r="B6" s="88" t="s">
        <v>29</v>
      </c>
      <c r="C6" s="78">
        <v>121.66</v>
      </c>
      <c r="D6" s="103"/>
      <c r="E6" s="103"/>
      <c r="F6" s="103"/>
      <c r="G6" s="103">
        <f>C6-I6</f>
        <v>12.170000000000002</v>
      </c>
      <c r="H6" s="103">
        <v>0</v>
      </c>
      <c r="I6" s="103">
        <f>ROUND(121.66*90%,2)</f>
        <v>109.49</v>
      </c>
      <c r="J6" s="104"/>
      <c r="K6" s="105">
        <f>E6</f>
        <v>0</v>
      </c>
      <c r="L6" s="78">
        <f>F6+I6+J6</f>
        <v>109.49</v>
      </c>
      <c r="M6" s="82">
        <f t="shared" si="0"/>
        <v>12.170000000000002</v>
      </c>
    </row>
    <row r="7" spans="1:13" s="83" customFormat="1" ht="33.75" customHeight="1" thickBot="1" x14ac:dyDescent="0.25">
      <c r="A7" s="196"/>
      <c r="B7" s="88" t="s">
        <v>30</v>
      </c>
      <c r="C7" s="78">
        <v>141.36000000000001</v>
      </c>
      <c r="D7" s="79" t="s">
        <v>3</v>
      </c>
      <c r="E7" s="80" t="s">
        <v>3</v>
      </c>
      <c r="F7" s="80" t="s">
        <v>3</v>
      </c>
      <c r="G7" s="80">
        <f>ROUND((141.36*10%),2)</f>
        <v>14.14</v>
      </c>
      <c r="H7" s="80">
        <f>141.36-G7-I7</f>
        <v>0</v>
      </c>
      <c r="I7" s="80">
        <f>ROUND(141.36*90%,2)</f>
        <v>127.22</v>
      </c>
      <c r="J7" s="80"/>
      <c r="K7" s="81" t="s">
        <v>3</v>
      </c>
      <c r="L7" s="78">
        <f>I7+J7</f>
        <v>127.22</v>
      </c>
      <c r="M7" s="82">
        <f t="shared" si="0"/>
        <v>14.14</v>
      </c>
    </row>
    <row r="8" spans="1:13" ht="56.45" customHeight="1" x14ac:dyDescent="0.2">
      <c r="A8" s="195" t="s">
        <v>12</v>
      </c>
      <c r="B8" s="85" t="s">
        <v>20</v>
      </c>
      <c r="C8" s="49">
        <v>59.76</v>
      </c>
      <c r="D8" s="50">
        <v>59.76</v>
      </c>
      <c r="E8" s="50">
        <f t="shared" ref="E8:E9" si="1">ROUND(59.76*88%,2)</f>
        <v>52.59</v>
      </c>
      <c r="F8" s="50">
        <f t="shared" ref="F8:F9" si="2">ROUND(59.76*12%,2)</f>
        <v>7.17</v>
      </c>
      <c r="G8" s="50" t="s">
        <v>3</v>
      </c>
      <c r="H8" s="50"/>
      <c r="I8" s="48"/>
      <c r="J8" s="48"/>
      <c r="K8" s="51">
        <f t="shared" ref="K8:K13" si="3">E8</f>
        <v>52.59</v>
      </c>
      <c r="L8" s="49">
        <f>F8+I8</f>
        <v>7.17</v>
      </c>
      <c r="M8" s="52" t="str">
        <f t="shared" si="0"/>
        <v>х</v>
      </c>
    </row>
    <row r="9" spans="1:13" ht="58.9" customHeight="1" x14ac:dyDescent="0.2">
      <c r="A9" s="196"/>
      <c r="B9" s="86" t="s">
        <v>21</v>
      </c>
      <c r="C9" s="93">
        <v>67.12</v>
      </c>
      <c r="D9" s="55">
        <v>59.76</v>
      </c>
      <c r="E9" s="55">
        <f t="shared" si="1"/>
        <v>52.59</v>
      </c>
      <c r="F9" s="55">
        <f t="shared" si="2"/>
        <v>7.17</v>
      </c>
      <c r="G9" s="55" t="s">
        <v>3</v>
      </c>
      <c r="H9" s="55"/>
      <c r="I9" s="53"/>
      <c r="J9" s="94">
        <f>67.12-D9</f>
        <v>7.3600000000000065</v>
      </c>
      <c r="K9" s="56">
        <f t="shared" si="3"/>
        <v>52.59</v>
      </c>
      <c r="L9" s="54">
        <f>F9+I9+J9</f>
        <v>14.530000000000006</v>
      </c>
      <c r="M9" s="57" t="str">
        <f t="shared" si="0"/>
        <v>х</v>
      </c>
    </row>
    <row r="10" spans="1:13" ht="67.900000000000006" customHeight="1" x14ac:dyDescent="0.2">
      <c r="A10" s="196"/>
      <c r="B10" s="86" t="s">
        <v>24</v>
      </c>
      <c r="C10" s="93">
        <v>67.209999999999994</v>
      </c>
      <c r="D10" s="55" t="s">
        <v>3</v>
      </c>
      <c r="E10" s="53" t="s">
        <v>3</v>
      </c>
      <c r="F10" s="53" t="s">
        <v>3</v>
      </c>
      <c r="G10" s="53" t="s">
        <v>3</v>
      </c>
      <c r="H10" s="53"/>
      <c r="I10" s="94">
        <v>67.209999999999994</v>
      </c>
      <c r="J10" s="53"/>
      <c r="K10" s="56" t="str">
        <f t="shared" si="3"/>
        <v>х</v>
      </c>
      <c r="L10" s="54">
        <f>I10</f>
        <v>67.209999999999994</v>
      </c>
      <c r="M10" s="57" t="str">
        <f t="shared" si="0"/>
        <v>х</v>
      </c>
    </row>
    <row r="11" spans="1:13" s="91" customFormat="1" ht="69" customHeight="1" thickBot="1" x14ac:dyDescent="0.25">
      <c r="A11" s="197"/>
      <c r="B11" s="102" t="s">
        <v>25</v>
      </c>
      <c r="C11" s="95">
        <v>77.540000000000006</v>
      </c>
      <c r="D11" s="98" t="s">
        <v>3</v>
      </c>
      <c r="E11" s="99" t="s">
        <v>3</v>
      </c>
      <c r="F11" s="99" t="s">
        <v>3</v>
      </c>
      <c r="G11" s="99" t="s">
        <v>3</v>
      </c>
      <c r="H11" s="97"/>
      <c r="I11" s="96">
        <v>77.540000000000006</v>
      </c>
      <c r="J11" s="97"/>
      <c r="K11" s="100" t="str">
        <f t="shared" si="3"/>
        <v>х</v>
      </c>
      <c r="L11" s="95">
        <f>I11</f>
        <v>77.540000000000006</v>
      </c>
      <c r="M11" s="101" t="str">
        <f t="shared" si="0"/>
        <v>х</v>
      </c>
    </row>
    <row r="12" spans="1:13" ht="63" customHeight="1" x14ac:dyDescent="0.2">
      <c r="A12" s="196" t="s">
        <v>7</v>
      </c>
      <c r="B12" s="89" t="s">
        <v>20</v>
      </c>
      <c r="C12" s="68">
        <v>59.76</v>
      </c>
      <c r="D12" s="69">
        <v>59.76</v>
      </c>
      <c r="E12" s="69">
        <f t="shared" ref="E12:E13" si="4">ROUND(59.76*88%,2)</f>
        <v>52.59</v>
      </c>
      <c r="F12" s="69">
        <f t="shared" ref="F12:F13" si="5">ROUND(59.76*12%,2)</f>
        <v>7.17</v>
      </c>
      <c r="G12" s="69" t="s">
        <v>3</v>
      </c>
      <c r="H12" s="69"/>
      <c r="I12" s="67" t="s">
        <v>3</v>
      </c>
      <c r="J12" s="67"/>
      <c r="K12" s="70">
        <f t="shared" si="3"/>
        <v>52.59</v>
      </c>
      <c r="L12" s="68">
        <f>F12</f>
        <v>7.17</v>
      </c>
      <c r="M12" s="71" t="str">
        <f t="shared" si="0"/>
        <v>х</v>
      </c>
    </row>
    <row r="13" spans="1:13" ht="67.900000000000006" customHeight="1" thickBot="1" x14ac:dyDescent="0.25">
      <c r="A13" s="197"/>
      <c r="B13" s="90" t="s">
        <v>21</v>
      </c>
      <c r="C13" s="95">
        <v>67.12</v>
      </c>
      <c r="D13" s="62">
        <v>59.76</v>
      </c>
      <c r="E13" s="62">
        <f t="shared" si="4"/>
        <v>52.59</v>
      </c>
      <c r="F13" s="62">
        <f t="shared" si="5"/>
        <v>7.17</v>
      </c>
      <c r="G13" s="62" t="s">
        <v>3</v>
      </c>
      <c r="H13" s="62"/>
      <c r="I13" s="63"/>
      <c r="J13" s="96">
        <f>67.12-D13</f>
        <v>7.3600000000000065</v>
      </c>
      <c r="K13" s="65">
        <f t="shared" si="3"/>
        <v>52.59</v>
      </c>
      <c r="L13" s="61">
        <f>F13+I13+J13</f>
        <v>14.530000000000006</v>
      </c>
      <c r="M13" s="66" t="str">
        <f t="shared" si="0"/>
        <v>х</v>
      </c>
    </row>
  </sheetData>
  <mergeCells count="11">
    <mergeCell ref="A1:I1"/>
    <mergeCell ref="A2:B3"/>
    <mergeCell ref="C2:C3"/>
    <mergeCell ref="D2:F2"/>
    <mergeCell ref="G2:H2"/>
    <mergeCell ref="I2:I3"/>
    <mergeCell ref="J2:J3"/>
    <mergeCell ref="K2:M2"/>
    <mergeCell ref="A4:A7"/>
    <mergeCell ref="A8:A11"/>
    <mergeCell ref="A12:A13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3"/>
  <sheetViews>
    <sheetView zoomScale="85" zoomScaleNormal="85" workbookViewId="0">
      <selection activeCell="E9" sqref="E9"/>
    </sheetView>
  </sheetViews>
  <sheetFormatPr defaultRowHeight="12.75" x14ac:dyDescent="0.2"/>
  <cols>
    <col min="1" max="1" width="29" style="177" customWidth="1"/>
    <col min="2" max="2" width="43.6640625" style="177" customWidth="1"/>
    <col min="3" max="3" width="14.83203125" style="119" customWidth="1"/>
    <col min="4" max="4" width="9.33203125" style="120"/>
    <col min="5" max="5" width="14.1640625" style="120" customWidth="1"/>
    <col min="6" max="6" width="14.83203125" style="120" customWidth="1"/>
    <col min="7" max="7" width="16" style="120" customWidth="1"/>
    <col min="8" max="9" width="19.5" style="120" customWidth="1"/>
    <col min="10" max="10" width="28.6640625" style="120" customWidth="1"/>
    <col min="11" max="11" width="18.33203125" style="119" customWidth="1"/>
    <col min="12" max="12" width="19.5" style="119" customWidth="1"/>
    <col min="13" max="13" width="15.6640625" style="119" customWidth="1"/>
    <col min="14" max="16384" width="9.33203125" style="120"/>
  </cols>
  <sheetData>
    <row r="1" spans="1:16" ht="38.25" customHeight="1" thickBot="1" x14ac:dyDescent="0.25">
      <c r="A1" s="229" t="s">
        <v>40</v>
      </c>
      <c r="B1" s="229"/>
      <c r="C1" s="229"/>
      <c r="D1" s="229"/>
      <c r="E1" s="229"/>
      <c r="F1" s="229"/>
      <c r="G1" s="229"/>
      <c r="H1" s="229"/>
      <c r="I1" s="229"/>
      <c r="J1" s="118"/>
    </row>
    <row r="2" spans="1:16" ht="48" customHeight="1" x14ac:dyDescent="0.2">
      <c r="A2" s="230" t="s">
        <v>34</v>
      </c>
      <c r="B2" s="221"/>
      <c r="C2" s="221" t="s">
        <v>35</v>
      </c>
      <c r="D2" s="232" t="s">
        <v>27</v>
      </c>
      <c r="E2" s="233"/>
      <c r="F2" s="234"/>
      <c r="G2" s="235" t="s">
        <v>39</v>
      </c>
      <c r="H2" s="235"/>
      <c r="I2" s="221" t="s">
        <v>37</v>
      </c>
      <c r="J2" s="221" t="s">
        <v>38</v>
      </c>
      <c r="K2" s="223" t="s">
        <v>8</v>
      </c>
      <c r="L2" s="224"/>
      <c r="M2" s="225"/>
    </row>
    <row r="3" spans="1:16" s="126" customFormat="1" ht="76.900000000000006" customHeight="1" thickBot="1" x14ac:dyDescent="0.25">
      <c r="A3" s="231"/>
      <c r="B3" s="222"/>
      <c r="C3" s="222"/>
      <c r="D3" s="121" t="s">
        <v>1</v>
      </c>
      <c r="E3" s="121" t="s">
        <v>10</v>
      </c>
      <c r="F3" s="121" t="s">
        <v>11</v>
      </c>
      <c r="G3" s="122" t="s">
        <v>1</v>
      </c>
      <c r="H3" s="123" t="s">
        <v>33</v>
      </c>
      <c r="I3" s="222"/>
      <c r="J3" s="222"/>
      <c r="K3" s="124" t="s">
        <v>9</v>
      </c>
      <c r="L3" s="124" t="s">
        <v>2</v>
      </c>
      <c r="M3" s="125" t="s">
        <v>5</v>
      </c>
    </row>
    <row r="4" spans="1:16" s="132" customFormat="1" ht="56.45" customHeight="1" x14ac:dyDescent="0.2">
      <c r="A4" s="226" t="s">
        <v>6</v>
      </c>
      <c r="B4" s="127" t="s">
        <v>16</v>
      </c>
      <c r="C4" s="128">
        <v>121.66</v>
      </c>
      <c r="D4" s="129">
        <v>59.76</v>
      </c>
      <c r="E4" s="129">
        <f>ROUND(59.76*84%,2)</f>
        <v>50.2</v>
      </c>
      <c r="F4" s="129">
        <f>ROUND(59.76*16%,2)</f>
        <v>9.56</v>
      </c>
      <c r="G4" s="129">
        <f>ROUND(59.76*10%,2)+ROUND(121.66-D4-I4-(59.76*10%),2)</f>
        <v>8.120000000000001</v>
      </c>
      <c r="H4" s="129">
        <f>ROUND(121.66-D4-I4-(59.76*10%),2)</f>
        <v>2.14</v>
      </c>
      <c r="I4" s="129">
        <f>ROUND(59.76*90%,2)</f>
        <v>53.78</v>
      </c>
      <c r="J4" s="129"/>
      <c r="K4" s="130">
        <f>E4</f>
        <v>50.2</v>
      </c>
      <c r="L4" s="128">
        <f>F4+I4+J4</f>
        <v>63.34</v>
      </c>
      <c r="M4" s="131">
        <f>G4</f>
        <v>8.120000000000001</v>
      </c>
      <c r="O4" s="132" t="s">
        <v>44</v>
      </c>
    </row>
    <row r="5" spans="1:16" ht="60" customHeight="1" x14ac:dyDescent="0.2">
      <c r="A5" s="227"/>
      <c r="B5" s="133" t="s">
        <v>17</v>
      </c>
      <c r="C5" s="134">
        <v>141.36000000000001</v>
      </c>
      <c r="D5" s="135" t="s">
        <v>3</v>
      </c>
      <c r="E5" s="136" t="s">
        <v>3</v>
      </c>
      <c r="F5" s="136" t="s">
        <v>3</v>
      </c>
      <c r="G5" s="136">
        <f>ROUND((141.36*10%),2)</f>
        <v>14.14</v>
      </c>
      <c r="H5" s="136">
        <f>141.36-G5-I5</f>
        <v>0</v>
      </c>
      <c r="I5" s="135">
        <f>ROUND(141.36*90%,2)</f>
        <v>127.22</v>
      </c>
      <c r="J5" s="136"/>
      <c r="K5" s="137" t="str">
        <f>E5</f>
        <v>х</v>
      </c>
      <c r="L5" s="134">
        <f>I5+J5</f>
        <v>127.22</v>
      </c>
      <c r="M5" s="138">
        <f t="shared" ref="M5:M13" si="0">G5</f>
        <v>14.14</v>
      </c>
      <c r="P5" s="120" t="s">
        <v>41</v>
      </c>
    </row>
    <row r="6" spans="1:16" s="132" customFormat="1" ht="22.9" customHeight="1" x14ac:dyDescent="0.2">
      <c r="A6" s="227"/>
      <c r="B6" s="139" t="s">
        <v>29</v>
      </c>
      <c r="C6" s="140">
        <v>121.66</v>
      </c>
      <c r="D6" s="141"/>
      <c r="E6" s="141"/>
      <c r="F6" s="141"/>
      <c r="G6" s="141">
        <f>C6-I6</f>
        <v>12.170000000000002</v>
      </c>
      <c r="H6" s="141">
        <v>0</v>
      </c>
      <c r="I6" s="141">
        <f>ROUND(121.66*90%,2)</f>
        <v>109.49</v>
      </c>
      <c r="J6" s="142"/>
      <c r="K6" s="143">
        <f>E6</f>
        <v>0</v>
      </c>
      <c r="L6" s="140">
        <f>F6+I6+J6</f>
        <v>109.49</v>
      </c>
      <c r="M6" s="144">
        <f t="shared" si="0"/>
        <v>12.170000000000002</v>
      </c>
    </row>
    <row r="7" spans="1:16" s="132" customFormat="1" ht="33.75" customHeight="1" thickBot="1" x14ac:dyDescent="0.25">
      <c r="A7" s="227"/>
      <c r="B7" s="139" t="s">
        <v>30</v>
      </c>
      <c r="C7" s="140">
        <v>141.36000000000001</v>
      </c>
      <c r="D7" s="145" t="s">
        <v>3</v>
      </c>
      <c r="E7" s="146" t="s">
        <v>3</v>
      </c>
      <c r="F7" s="146" t="s">
        <v>3</v>
      </c>
      <c r="G7" s="146">
        <f>ROUND((141.36*10%),2)</f>
        <v>14.14</v>
      </c>
      <c r="H7" s="146">
        <f>141.36-G7-I7</f>
        <v>0</v>
      </c>
      <c r="I7" s="146">
        <f>ROUND(141.36*90%,2)</f>
        <v>127.22</v>
      </c>
      <c r="J7" s="146"/>
      <c r="K7" s="147" t="s">
        <v>3</v>
      </c>
      <c r="L7" s="140">
        <f>I7+J7</f>
        <v>127.22</v>
      </c>
      <c r="M7" s="144">
        <f t="shared" si="0"/>
        <v>14.14</v>
      </c>
    </row>
    <row r="8" spans="1:16" ht="56.45" customHeight="1" thickBot="1" x14ac:dyDescent="0.25">
      <c r="A8" s="226" t="s">
        <v>12</v>
      </c>
      <c r="B8" s="148" t="s">
        <v>20</v>
      </c>
      <c r="C8" s="149">
        <v>59.76</v>
      </c>
      <c r="D8" s="150">
        <v>59.76</v>
      </c>
      <c r="E8" s="129">
        <f>ROUND(59.76*84%,2)</f>
        <v>50.2</v>
      </c>
      <c r="F8" s="129">
        <f>ROUND(59.76*16%,2)</f>
        <v>9.56</v>
      </c>
      <c r="G8" s="150" t="s">
        <v>3</v>
      </c>
      <c r="H8" s="150"/>
      <c r="I8" s="151"/>
      <c r="J8" s="151"/>
      <c r="K8" s="152">
        <f t="shared" ref="K8:K13" si="1">E8</f>
        <v>50.2</v>
      </c>
      <c r="L8" s="149">
        <f>F8+I8</f>
        <v>9.56</v>
      </c>
      <c r="M8" s="153" t="str">
        <f t="shared" si="0"/>
        <v>х</v>
      </c>
    </row>
    <row r="9" spans="1:16" ht="58.9" customHeight="1" x14ac:dyDescent="0.2">
      <c r="A9" s="227"/>
      <c r="B9" s="133" t="s">
        <v>21</v>
      </c>
      <c r="C9" s="154">
        <v>67.12</v>
      </c>
      <c r="D9" s="135">
        <v>59.76</v>
      </c>
      <c r="E9" s="129">
        <f>ROUND(59.76*84%,2)</f>
        <v>50.2</v>
      </c>
      <c r="F9" s="129">
        <f>ROUND(59.76*16%,2)</f>
        <v>9.56</v>
      </c>
      <c r="G9" s="135" t="s">
        <v>3</v>
      </c>
      <c r="H9" s="135"/>
      <c r="I9" s="136"/>
      <c r="J9" s="155">
        <f>C9-D9</f>
        <v>7.3600000000000065</v>
      </c>
      <c r="K9" s="137">
        <f t="shared" si="1"/>
        <v>50.2</v>
      </c>
      <c r="L9" s="134">
        <f>F9+I9+J9</f>
        <v>16.920000000000009</v>
      </c>
      <c r="M9" s="138" t="str">
        <f t="shared" si="0"/>
        <v>х</v>
      </c>
    </row>
    <row r="10" spans="1:16" ht="67.900000000000006" customHeight="1" x14ac:dyDescent="0.2">
      <c r="A10" s="227"/>
      <c r="B10" s="133" t="s">
        <v>24</v>
      </c>
      <c r="C10" s="154">
        <v>67.209999999999994</v>
      </c>
      <c r="D10" s="135" t="s">
        <v>3</v>
      </c>
      <c r="E10" s="136" t="s">
        <v>3</v>
      </c>
      <c r="F10" s="136" t="s">
        <v>3</v>
      </c>
      <c r="G10" s="136" t="s">
        <v>3</v>
      </c>
      <c r="H10" s="136"/>
      <c r="I10" s="155">
        <v>67.209999999999994</v>
      </c>
      <c r="J10" s="136"/>
      <c r="K10" s="137" t="str">
        <f t="shared" si="1"/>
        <v>х</v>
      </c>
      <c r="L10" s="134">
        <f>I10</f>
        <v>67.209999999999994</v>
      </c>
      <c r="M10" s="138" t="str">
        <f t="shared" si="0"/>
        <v>х</v>
      </c>
      <c r="P10" s="120" t="s">
        <v>42</v>
      </c>
    </row>
    <row r="11" spans="1:16" s="164" customFormat="1" ht="69" customHeight="1" thickBot="1" x14ac:dyDescent="0.25">
      <c r="A11" s="228"/>
      <c r="B11" s="156" t="s">
        <v>25</v>
      </c>
      <c r="C11" s="157">
        <v>77.540000000000006</v>
      </c>
      <c r="D11" s="158" t="s">
        <v>3</v>
      </c>
      <c r="E11" s="159" t="s">
        <v>3</v>
      </c>
      <c r="F11" s="159" t="s">
        <v>3</v>
      </c>
      <c r="G11" s="159" t="s">
        <v>3</v>
      </c>
      <c r="H11" s="160"/>
      <c r="I11" s="161">
        <v>77.540000000000006</v>
      </c>
      <c r="J11" s="160"/>
      <c r="K11" s="162" t="str">
        <f t="shared" si="1"/>
        <v>х</v>
      </c>
      <c r="L11" s="157">
        <f>I11</f>
        <v>77.540000000000006</v>
      </c>
      <c r="M11" s="163" t="str">
        <f t="shared" si="0"/>
        <v>х</v>
      </c>
    </row>
    <row r="12" spans="1:16" ht="63" customHeight="1" thickBot="1" x14ac:dyDescent="0.25">
      <c r="A12" s="227" t="s">
        <v>7</v>
      </c>
      <c r="B12" s="165" t="s">
        <v>20</v>
      </c>
      <c r="C12" s="166">
        <v>59.76</v>
      </c>
      <c r="D12" s="167">
        <v>59.76</v>
      </c>
      <c r="E12" s="129">
        <f>ROUND(59.76*84%,2)</f>
        <v>50.2</v>
      </c>
      <c r="F12" s="129">
        <f>ROUND(59.76*16%,2)</f>
        <v>9.56</v>
      </c>
      <c r="G12" s="167" t="s">
        <v>3</v>
      </c>
      <c r="H12" s="167"/>
      <c r="I12" s="168" t="s">
        <v>3</v>
      </c>
      <c r="J12" s="168"/>
      <c r="K12" s="169">
        <f t="shared" si="1"/>
        <v>50.2</v>
      </c>
      <c r="L12" s="166">
        <f>F12</f>
        <v>9.56</v>
      </c>
      <c r="M12" s="170" t="str">
        <f t="shared" si="0"/>
        <v>х</v>
      </c>
      <c r="P12" s="120" t="s">
        <v>43</v>
      </c>
    </row>
    <row r="13" spans="1:16" ht="67.900000000000006" customHeight="1" thickBot="1" x14ac:dyDescent="0.25">
      <c r="A13" s="228"/>
      <c r="B13" s="171" t="s">
        <v>21</v>
      </c>
      <c r="C13" s="157">
        <v>67.12</v>
      </c>
      <c r="D13" s="172">
        <v>59.76</v>
      </c>
      <c r="E13" s="129">
        <f>ROUND(59.76*84%,2)</f>
        <v>50.2</v>
      </c>
      <c r="F13" s="129">
        <f>ROUND(59.76*16%,2)</f>
        <v>9.56</v>
      </c>
      <c r="G13" s="172" t="s">
        <v>3</v>
      </c>
      <c r="H13" s="172"/>
      <c r="I13" s="173"/>
      <c r="J13" s="161">
        <f>67.12-D13</f>
        <v>7.3600000000000065</v>
      </c>
      <c r="K13" s="174">
        <f t="shared" si="1"/>
        <v>50.2</v>
      </c>
      <c r="L13" s="175">
        <f>F13+I13+J13</f>
        <v>16.920000000000009</v>
      </c>
      <c r="M13" s="176" t="str">
        <f t="shared" si="0"/>
        <v>х</v>
      </c>
    </row>
  </sheetData>
  <mergeCells count="11">
    <mergeCell ref="A1:I1"/>
    <mergeCell ref="A2:B3"/>
    <mergeCell ref="C2:C3"/>
    <mergeCell ref="D2:F2"/>
    <mergeCell ref="G2:H2"/>
    <mergeCell ref="I2:I3"/>
    <mergeCell ref="J2:J3"/>
    <mergeCell ref="K2:M2"/>
    <mergeCell ref="A4:A7"/>
    <mergeCell ref="A8:A11"/>
    <mergeCell ref="A12:A13"/>
  </mergeCells>
  <pageMargins left="0.19685039370078741" right="0.19685039370078741" top="0.19685039370078741" bottom="0.19685039370078741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3"/>
  <sheetViews>
    <sheetView zoomScale="85" zoomScaleNormal="85" workbookViewId="0">
      <selection activeCell="F8" sqref="F8"/>
    </sheetView>
  </sheetViews>
  <sheetFormatPr defaultRowHeight="12.75" x14ac:dyDescent="0.2"/>
  <cols>
    <col min="1" max="1" width="29" style="177" customWidth="1"/>
    <col min="2" max="2" width="43.6640625" style="177" customWidth="1"/>
    <col min="3" max="3" width="14.83203125" style="119" customWidth="1"/>
    <col min="4" max="4" width="9.33203125" style="120"/>
    <col min="5" max="5" width="14.1640625" style="120" customWidth="1"/>
    <col min="6" max="6" width="14.83203125" style="120" customWidth="1"/>
    <col min="7" max="7" width="16" style="120" customWidth="1"/>
    <col min="8" max="9" width="19.5" style="120" customWidth="1"/>
    <col min="10" max="10" width="28.6640625" style="120" customWidth="1"/>
    <col min="11" max="11" width="18.33203125" style="119" customWidth="1"/>
    <col min="12" max="12" width="19.5" style="119" customWidth="1"/>
    <col min="13" max="13" width="15.6640625" style="119" customWidth="1"/>
    <col min="14" max="16384" width="9.33203125" style="120"/>
  </cols>
  <sheetData>
    <row r="1" spans="1:16" ht="38.25" customHeight="1" thickBot="1" x14ac:dyDescent="0.25">
      <c r="A1" s="229" t="s">
        <v>48</v>
      </c>
      <c r="B1" s="229"/>
      <c r="C1" s="229"/>
      <c r="D1" s="229"/>
      <c r="E1" s="229"/>
      <c r="F1" s="229"/>
      <c r="G1" s="229"/>
      <c r="H1" s="229"/>
      <c r="I1" s="229"/>
      <c r="J1" s="118"/>
    </row>
    <row r="2" spans="1:16" ht="48" customHeight="1" x14ac:dyDescent="0.2">
      <c r="A2" s="230" t="s">
        <v>34</v>
      </c>
      <c r="B2" s="221"/>
      <c r="C2" s="221" t="s">
        <v>35</v>
      </c>
      <c r="D2" s="232" t="s">
        <v>27</v>
      </c>
      <c r="E2" s="233"/>
      <c r="F2" s="234"/>
      <c r="G2" s="235" t="s">
        <v>39</v>
      </c>
      <c r="H2" s="235"/>
      <c r="I2" s="221" t="s">
        <v>37</v>
      </c>
      <c r="J2" s="221" t="s">
        <v>38</v>
      </c>
      <c r="K2" s="223" t="s">
        <v>8</v>
      </c>
      <c r="L2" s="224"/>
      <c r="M2" s="225"/>
    </row>
    <row r="3" spans="1:16" s="126" customFormat="1" ht="76.900000000000006" customHeight="1" thickBot="1" x14ac:dyDescent="0.25">
      <c r="A3" s="231"/>
      <c r="B3" s="222"/>
      <c r="C3" s="222"/>
      <c r="D3" s="121" t="s">
        <v>1</v>
      </c>
      <c r="E3" s="121" t="s">
        <v>10</v>
      </c>
      <c r="F3" s="121" t="s">
        <v>11</v>
      </c>
      <c r="G3" s="122" t="s">
        <v>1</v>
      </c>
      <c r="H3" s="123" t="s">
        <v>33</v>
      </c>
      <c r="I3" s="222"/>
      <c r="J3" s="222"/>
      <c r="K3" s="124" t="s">
        <v>9</v>
      </c>
      <c r="L3" s="124" t="s">
        <v>2</v>
      </c>
      <c r="M3" s="125" t="s">
        <v>5</v>
      </c>
    </row>
    <row r="4" spans="1:16" s="132" customFormat="1" ht="56.45" customHeight="1" x14ac:dyDescent="0.2">
      <c r="A4" s="226" t="s">
        <v>6</v>
      </c>
      <c r="B4" s="127" t="s">
        <v>16</v>
      </c>
      <c r="C4" s="128">
        <v>121.66</v>
      </c>
      <c r="D4" s="129">
        <v>59.9</v>
      </c>
      <c r="E4" s="129">
        <f>ROUND(59.9*84%,2)</f>
        <v>50.32</v>
      </c>
      <c r="F4" s="129">
        <f>ROUND(59.9*16%,2)</f>
        <v>9.58</v>
      </c>
      <c r="G4" s="129">
        <f>ROUND(59.9*10%,2)+ROUND(121.66-D4-I4-(59.9*10%),2)</f>
        <v>7.8500000000000005</v>
      </c>
      <c r="H4" s="129">
        <f>ROUND(121.66-D4-I4-(59.9*10%),2)</f>
        <v>1.86</v>
      </c>
      <c r="I4" s="129">
        <f>ROUND(59.9*90%,2)</f>
        <v>53.91</v>
      </c>
      <c r="J4" s="129"/>
      <c r="K4" s="130">
        <f>E4</f>
        <v>50.32</v>
      </c>
      <c r="L4" s="128">
        <f>F4+I4+J4</f>
        <v>63.489999999999995</v>
      </c>
      <c r="M4" s="131">
        <f>G4</f>
        <v>7.8500000000000005</v>
      </c>
      <c r="O4" s="132" t="s">
        <v>45</v>
      </c>
    </row>
    <row r="5" spans="1:16" ht="60" customHeight="1" x14ac:dyDescent="0.2">
      <c r="A5" s="227"/>
      <c r="B5" s="133" t="s">
        <v>17</v>
      </c>
      <c r="C5" s="134">
        <v>141.69</v>
      </c>
      <c r="D5" s="135" t="s">
        <v>3</v>
      </c>
      <c r="E5" s="136" t="s">
        <v>3</v>
      </c>
      <c r="F5" s="136" t="s">
        <v>3</v>
      </c>
      <c r="G5" s="136">
        <f>ROUND((141.69*10%),2)</f>
        <v>14.17</v>
      </c>
      <c r="H5" s="136">
        <f>141.69-G5-I5</f>
        <v>0</v>
      </c>
      <c r="I5" s="135">
        <f>ROUND(141.69*90%,2)</f>
        <v>127.52</v>
      </c>
      <c r="J5" s="136"/>
      <c r="K5" s="137" t="str">
        <f>E5</f>
        <v>х</v>
      </c>
      <c r="L5" s="134">
        <f>I5+J5</f>
        <v>127.52</v>
      </c>
      <c r="M5" s="138">
        <f t="shared" ref="M5:M13" si="0">G5</f>
        <v>14.17</v>
      </c>
      <c r="P5" s="120" t="s">
        <v>41</v>
      </c>
    </row>
    <row r="6" spans="1:16" s="132" customFormat="1" ht="22.9" customHeight="1" x14ac:dyDescent="0.2">
      <c r="A6" s="227"/>
      <c r="B6" s="139" t="s">
        <v>29</v>
      </c>
      <c r="C6" s="140">
        <v>121.66</v>
      </c>
      <c r="D6" s="141"/>
      <c r="E6" s="141"/>
      <c r="F6" s="141"/>
      <c r="G6" s="141">
        <f>C6-I6</f>
        <v>12.170000000000002</v>
      </c>
      <c r="H6" s="141">
        <v>0</v>
      </c>
      <c r="I6" s="141">
        <f>ROUND(121.66*90%,2)</f>
        <v>109.49</v>
      </c>
      <c r="J6" s="142"/>
      <c r="K6" s="143">
        <f>E6</f>
        <v>0</v>
      </c>
      <c r="L6" s="140">
        <f>F6+I6+J6</f>
        <v>109.49</v>
      </c>
      <c r="M6" s="144">
        <f t="shared" si="0"/>
        <v>12.170000000000002</v>
      </c>
    </row>
    <row r="7" spans="1:16" s="132" customFormat="1" ht="33.75" customHeight="1" thickBot="1" x14ac:dyDescent="0.25">
      <c r="A7" s="227"/>
      <c r="B7" s="139" t="s">
        <v>30</v>
      </c>
      <c r="C7" s="140">
        <v>141.69</v>
      </c>
      <c r="D7" s="145" t="s">
        <v>3</v>
      </c>
      <c r="E7" s="146" t="s">
        <v>3</v>
      </c>
      <c r="F7" s="146" t="s">
        <v>3</v>
      </c>
      <c r="G7" s="146">
        <f>ROUND((141.69*10%),2)</f>
        <v>14.17</v>
      </c>
      <c r="H7" s="146">
        <f>141.69-G7-I7</f>
        <v>0</v>
      </c>
      <c r="I7" s="146">
        <f>ROUND(141.69*90%,2)</f>
        <v>127.52</v>
      </c>
      <c r="J7" s="146"/>
      <c r="K7" s="147" t="s">
        <v>3</v>
      </c>
      <c r="L7" s="140">
        <f>I7+J7</f>
        <v>127.52</v>
      </c>
      <c r="M7" s="144">
        <f t="shared" si="0"/>
        <v>14.17</v>
      </c>
    </row>
    <row r="8" spans="1:16" ht="56.45" customHeight="1" thickBot="1" x14ac:dyDescent="0.25">
      <c r="A8" s="226" t="s">
        <v>12</v>
      </c>
      <c r="B8" s="148" t="s">
        <v>20</v>
      </c>
      <c r="C8" s="149">
        <v>59.9</v>
      </c>
      <c r="D8" s="150">
        <v>59.9</v>
      </c>
      <c r="E8" s="129">
        <f>ROUND(59.9*84%,2)</f>
        <v>50.32</v>
      </c>
      <c r="F8" s="129">
        <f>ROUND(59.9*16%,2)</f>
        <v>9.58</v>
      </c>
      <c r="G8" s="150" t="s">
        <v>3</v>
      </c>
      <c r="H8" s="150"/>
      <c r="I8" s="151"/>
      <c r="J8" s="151"/>
      <c r="K8" s="152">
        <f t="shared" ref="K8:K13" si="1">E8</f>
        <v>50.32</v>
      </c>
      <c r="L8" s="149">
        <f>F8+I8</f>
        <v>9.58</v>
      </c>
      <c r="M8" s="153" t="str">
        <f t="shared" si="0"/>
        <v>х</v>
      </c>
    </row>
    <row r="9" spans="1:16" ht="58.9" customHeight="1" x14ac:dyDescent="0.2">
      <c r="A9" s="227"/>
      <c r="B9" s="133" t="s">
        <v>21</v>
      </c>
      <c r="C9" s="154">
        <v>69.739999999999995</v>
      </c>
      <c r="D9" s="135">
        <v>59.9</v>
      </c>
      <c r="E9" s="129">
        <f>ROUND(59.9*84%,2)</f>
        <v>50.32</v>
      </c>
      <c r="F9" s="129">
        <f>ROUND(59.9*16%,2)</f>
        <v>9.58</v>
      </c>
      <c r="G9" s="135" t="s">
        <v>3</v>
      </c>
      <c r="H9" s="135"/>
      <c r="I9" s="136"/>
      <c r="J9" s="155">
        <f>C9-D9</f>
        <v>9.8399999999999963</v>
      </c>
      <c r="K9" s="137">
        <f t="shared" si="1"/>
        <v>50.32</v>
      </c>
      <c r="L9" s="134">
        <f>F9+I9+J9</f>
        <v>19.419999999999995</v>
      </c>
      <c r="M9" s="138" t="str">
        <f t="shared" si="0"/>
        <v>х</v>
      </c>
    </row>
    <row r="10" spans="1:16" ht="67.900000000000006" customHeight="1" x14ac:dyDescent="0.2">
      <c r="A10" s="227"/>
      <c r="B10" s="133" t="s">
        <v>24</v>
      </c>
      <c r="C10" s="154">
        <v>69.83</v>
      </c>
      <c r="D10" s="135" t="s">
        <v>3</v>
      </c>
      <c r="E10" s="136" t="s">
        <v>3</v>
      </c>
      <c r="F10" s="136" t="s">
        <v>3</v>
      </c>
      <c r="G10" s="136" t="s">
        <v>3</v>
      </c>
      <c r="H10" s="136"/>
      <c r="I10" s="155">
        <f>C10</f>
        <v>69.83</v>
      </c>
      <c r="J10" s="136"/>
      <c r="K10" s="137" t="str">
        <f t="shared" si="1"/>
        <v>х</v>
      </c>
      <c r="L10" s="134">
        <f>I10</f>
        <v>69.83</v>
      </c>
      <c r="M10" s="138" t="str">
        <f t="shared" si="0"/>
        <v>х</v>
      </c>
      <c r="P10" s="120" t="s">
        <v>42</v>
      </c>
    </row>
    <row r="11" spans="1:16" s="164" customFormat="1" ht="69" customHeight="1" thickBot="1" x14ac:dyDescent="0.25">
      <c r="A11" s="228"/>
      <c r="B11" s="156" t="s">
        <v>25</v>
      </c>
      <c r="C11" s="157">
        <v>80.56</v>
      </c>
      <c r="D11" s="158" t="s">
        <v>3</v>
      </c>
      <c r="E11" s="159" t="s">
        <v>3</v>
      </c>
      <c r="F11" s="159" t="s">
        <v>3</v>
      </c>
      <c r="G11" s="159" t="s">
        <v>3</v>
      </c>
      <c r="H11" s="160"/>
      <c r="I11" s="161">
        <f>C11</f>
        <v>80.56</v>
      </c>
      <c r="J11" s="160"/>
      <c r="K11" s="162" t="str">
        <f t="shared" si="1"/>
        <v>х</v>
      </c>
      <c r="L11" s="157">
        <f>I11</f>
        <v>80.56</v>
      </c>
      <c r="M11" s="163" t="str">
        <f t="shared" si="0"/>
        <v>х</v>
      </c>
    </row>
    <row r="12" spans="1:16" ht="63" customHeight="1" thickBot="1" x14ac:dyDescent="0.25">
      <c r="A12" s="227" t="s">
        <v>7</v>
      </c>
      <c r="B12" s="165" t="s">
        <v>20</v>
      </c>
      <c r="C12" s="149">
        <v>59.9</v>
      </c>
      <c r="D12" s="167">
        <v>59.9</v>
      </c>
      <c r="E12" s="129">
        <f>ROUND(59.9*84%,2)</f>
        <v>50.32</v>
      </c>
      <c r="F12" s="129">
        <f>ROUND(59.9*16%,2)</f>
        <v>9.58</v>
      </c>
      <c r="G12" s="167" t="s">
        <v>3</v>
      </c>
      <c r="H12" s="167"/>
      <c r="I12" s="168" t="s">
        <v>3</v>
      </c>
      <c r="J12" s="168"/>
      <c r="K12" s="169">
        <f t="shared" si="1"/>
        <v>50.32</v>
      </c>
      <c r="L12" s="166">
        <f>F12</f>
        <v>9.58</v>
      </c>
      <c r="M12" s="170" t="str">
        <f t="shared" si="0"/>
        <v>х</v>
      </c>
      <c r="P12" s="120" t="s">
        <v>43</v>
      </c>
    </row>
    <row r="13" spans="1:16" ht="67.900000000000006" customHeight="1" thickBot="1" x14ac:dyDescent="0.25">
      <c r="A13" s="228"/>
      <c r="B13" s="171" t="s">
        <v>21</v>
      </c>
      <c r="C13" s="157">
        <v>69.739999999999995</v>
      </c>
      <c r="D13" s="172">
        <v>59.9</v>
      </c>
      <c r="E13" s="129">
        <f>ROUND(59.9*84%,2)</f>
        <v>50.32</v>
      </c>
      <c r="F13" s="129">
        <f>ROUND(59.9*16%,2)</f>
        <v>9.58</v>
      </c>
      <c r="G13" s="172" t="s">
        <v>3</v>
      </c>
      <c r="H13" s="172"/>
      <c r="I13" s="173"/>
      <c r="J13" s="161">
        <f>67.12-D13</f>
        <v>7.220000000000006</v>
      </c>
      <c r="K13" s="174">
        <f t="shared" si="1"/>
        <v>50.32</v>
      </c>
      <c r="L13" s="175">
        <f>F13+I13+J13</f>
        <v>16.800000000000004</v>
      </c>
      <c r="M13" s="176" t="str">
        <f t="shared" si="0"/>
        <v>х</v>
      </c>
    </row>
  </sheetData>
  <mergeCells count="11">
    <mergeCell ref="A1:I1"/>
    <mergeCell ref="A2:B3"/>
    <mergeCell ref="C2:C3"/>
    <mergeCell ref="D2:F2"/>
    <mergeCell ref="G2:H2"/>
    <mergeCell ref="I2:I3"/>
    <mergeCell ref="J2:J3"/>
    <mergeCell ref="K2:M2"/>
    <mergeCell ref="A4:A7"/>
    <mergeCell ref="A8:A11"/>
    <mergeCell ref="A12:A13"/>
  </mergeCells>
  <pageMargins left="0.19685039370078741" right="0.19685039370078741" top="0.19685039370078741" bottom="0.19685039370078741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3"/>
  <sheetViews>
    <sheetView tabSelected="1" zoomScale="85" zoomScaleNormal="85" workbookViewId="0">
      <selection activeCell="F13" sqref="F13"/>
    </sheetView>
  </sheetViews>
  <sheetFormatPr defaultRowHeight="12.75" x14ac:dyDescent="0.2"/>
  <cols>
    <col min="1" max="1" width="29" style="84" customWidth="1"/>
    <col min="2" max="2" width="43.6640625" style="84" customWidth="1"/>
    <col min="3" max="3" width="14.83203125" style="117" customWidth="1"/>
    <col min="5" max="5" width="14.1640625" customWidth="1"/>
    <col min="6" max="6" width="14.83203125" customWidth="1"/>
    <col min="7" max="7" width="16" customWidth="1"/>
    <col min="8" max="9" width="19.5" customWidth="1"/>
    <col min="10" max="10" width="28.6640625" customWidth="1"/>
    <col min="11" max="11" width="18.33203125" style="4" customWidth="1"/>
    <col min="12" max="12" width="19.5" style="4" customWidth="1"/>
    <col min="13" max="13" width="15.6640625" style="4" customWidth="1"/>
  </cols>
  <sheetData>
    <row r="1" spans="1:16" ht="38.25" customHeight="1" thickBot="1" x14ac:dyDescent="0.25">
      <c r="A1" s="229" t="s">
        <v>47</v>
      </c>
      <c r="B1" s="229"/>
      <c r="C1" s="229"/>
      <c r="D1" s="229"/>
      <c r="E1" s="229"/>
      <c r="F1" s="229"/>
      <c r="G1" s="229"/>
      <c r="H1" s="229"/>
      <c r="I1" s="229"/>
      <c r="J1" s="118"/>
      <c r="K1" s="119"/>
      <c r="L1" s="119"/>
      <c r="M1" s="119"/>
    </row>
    <row r="2" spans="1:16" ht="48" customHeight="1" x14ac:dyDescent="0.2">
      <c r="A2" s="230" t="s">
        <v>34</v>
      </c>
      <c r="B2" s="221"/>
      <c r="C2" s="236" t="s">
        <v>35</v>
      </c>
      <c r="D2" s="232" t="s">
        <v>27</v>
      </c>
      <c r="E2" s="233"/>
      <c r="F2" s="234"/>
      <c r="G2" s="235" t="s">
        <v>39</v>
      </c>
      <c r="H2" s="235"/>
      <c r="I2" s="221" t="s">
        <v>37</v>
      </c>
      <c r="J2" s="221" t="s">
        <v>38</v>
      </c>
      <c r="K2" s="223" t="s">
        <v>8</v>
      </c>
      <c r="L2" s="224"/>
      <c r="M2" s="225"/>
    </row>
    <row r="3" spans="1:16" s="1" customFormat="1" ht="76.900000000000006" customHeight="1" thickBot="1" x14ac:dyDescent="0.25">
      <c r="A3" s="231"/>
      <c r="B3" s="222"/>
      <c r="C3" s="237"/>
      <c r="D3" s="121" t="s">
        <v>1</v>
      </c>
      <c r="E3" s="121" t="s">
        <v>10</v>
      </c>
      <c r="F3" s="121" t="s">
        <v>11</v>
      </c>
      <c r="G3" s="122" t="s">
        <v>1</v>
      </c>
      <c r="H3" s="123" t="s">
        <v>33</v>
      </c>
      <c r="I3" s="222"/>
      <c r="J3" s="222"/>
      <c r="K3" s="124" t="s">
        <v>9</v>
      </c>
      <c r="L3" s="124" t="s">
        <v>2</v>
      </c>
      <c r="M3" s="125" t="s">
        <v>5</v>
      </c>
    </row>
    <row r="4" spans="1:16" s="83" customFormat="1" ht="56.45" customHeight="1" x14ac:dyDescent="0.2">
      <c r="A4" s="226" t="s">
        <v>6</v>
      </c>
      <c r="B4" s="127" t="s">
        <v>16</v>
      </c>
      <c r="C4" s="178">
        <v>121.66</v>
      </c>
      <c r="D4" s="129">
        <v>59.9</v>
      </c>
      <c r="E4" s="129">
        <f>ROUND(59.9*84%,2)</f>
        <v>50.32</v>
      </c>
      <c r="F4" s="129">
        <f>ROUND(59.9*16%,2)</f>
        <v>9.58</v>
      </c>
      <c r="G4" s="129">
        <f>ROUND(59.9*10%,2)+ROUND(121.66-D4-I4-(59.9*10%),2)</f>
        <v>7.8500000000000005</v>
      </c>
      <c r="H4" s="129">
        <f>ROUND(121.66-D4-I4-(59.9*10%),2)</f>
        <v>1.86</v>
      </c>
      <c r="I4" s="129">
        <f>ROUND(59.9*90%,2)</f>
        <v>53.91</v>
      </c>
      <c r="J4" s="129"/>
      <c r="K4" s="130">
        <f>E4</f>
        <v>50.32</v>
      </c>
      <c r="L4" s="128">
        <f>F4+I4+J4</f>
        <v>63.489999999999995</v>
      </c>
      <c r="M4" s="131">
        <f>G4</f>
        <v>7.8500000000000005</v>
      </c>
      <c r="O4" s="83" t="s">
        <v>45</v>
      </c>
    </row>
    <row r="5" spans="1:16" ht="60" customHeight="1" x14ac:dyDescent="0.2">
      <c r="A5" s="227"/>
      <c r="B5" s="133" t="s">
        <v>17</v>
      </c>
      <c r="C5" s="179">
        <v>141.69</v>
      </c>
      <c r="D5" s="135" t="s">
        <v>3</v>
      </c>
      <c r="E5" s="136" t="s">
        <v>3</v>
      </c>
      <c r="F5" s="136" t="s">
        <v>3</v>
      </c>
      <c r="G5" s="136">
        <f>ROUND((141.69*10%),2)</f>
        <v>14.17</v>
      </c>
      <c r="H5" s="136">
        <f>141.69-G5-I5</f>
        <v>0</v>
      </c>
      <c r="I5" s="135">
        <f>ROUND(141.69*90%,2)</f>
        <v>127.52</v>
      </c>
      <c r="J5" s="136"/>
      <c r="K5" s="137" t="str">
        <f>E5</f>
        <v>х</v>
      </c>
      <c r="L5" s="134">
        <f>I5+J5</f>
        <v>127.52</v>
      </c>
      <c r="M5" s="138">
        <f t="shared" ref="M5:M13" si="0">G5</f>
        <v>14.17</v>
      </c>
      <c r="P5" t="s">
        <v>41</v>
      </c>
    </row>
    <row r="6" spans="1:16" s="83" customFormat="1" ht="22.9" customHeight="1" x14ac:dyDescent="0.2">
      <c r="A6" s="227"/>
      <c r="B6" s="139" t="s">
        <v>29</v>
      </c>
      <c r="C6" s="180">
        <v>121.66</v>
      </c>
      <c r="D6" s="141"/>
      <c r="E6" s="141"/>
      <c r="F6" s="141"/>
      <c r="G6" s="141">
        <f>C6-I6</f>
        <v>12.170000000000002</v>
      </c>
      <c r="H6" s="141">
        <v>0</v>
      </c>
      <c r="I6" s="141">
        <f>ROUND(121.66*90%,2)</f>
        <v>109.49</v>
      </c>
      <c r="J6" s="142"/>
      <c r="K6" s="143">
        <f>E6</f>
        <v>0</v>
      </c>
      <c r="L6" s="140">
        <f>F6+I6+J6</f>
        <v>109.49</v>
      </c>
      <c r="M6" s="144">
        <f t="shared" si="0"/>
        <v>12.170000000000002</v>
      </c>
    </row>
    <row r="7" spans="1:16" s="83" customFormat="1" ht="33.75" customHeight="1" thickBot="1" x14ac:dyDescent="0.25">
      <c r="A7" s="227"/>
      <c r="B7" s="139" t="s">
        <v>30</v>
      </c>
      <c r="C7" s="180">
        <v>141.69</v>
      </c>
      <c r="D7" s="145" t="s">
        <v>3</v>
      </c>
      <c r="E7" s="146" t="s">
        <v>3</v>
      </c>
      <c r="F7" s="146" t="s">
        <v>3</v>
      </c>
      <c r="G7" s="146">
        <f>ROUND((141.69*10%),2)</f>
        <v>14.17</v>
      </c>
      <c r="H7" s="146">
        <f>141.69-G7-I7</f>
        <v>0</v>
      </c>
      <c r="I7" s="146">
        <f>ROUND(141.69*90%,2)</f>
        <v>127.52</v>
      </c>
      <c r="J7" s="146"/>
      <c r="K7" s="147" t="s">
        <v>3</v>
      </c>
      <c r="L7" s="140">
        <f>I7+J7</f>
        <v>127.52</v>
      </c>
      <c r="M7" s="144">
        <f t="shared" si="0"/>
        <v>14.17</v>
      </c>
    </row>
    <row r="8" spans="1:16" ht="56.45" customHeight="1" thickBot="1" x14ac:dyDescent="0.25">
      <c r="A8" s="226" t="s">
        <v>12</v>
      </c>
      <c r="B8" s="148" t="s">
        <v>20</v>
      </c>
      <c r="C8" s="181">
        <v>59.9</v>
      </c>
      <c r="D8" s="150">
        <v>59.9</v>
      </c>
      <c r="E8" s="129">
        <f>ROUND(59.9*84%,2)</f>
        <v>50.32</v>
      </c>
      <c r="F8" s="129">
        <f>ROUND(59.9*16%,2)</f>
        <v>9.58</v>
      </c>
      <c r="G8" s="150" t="s">
        <v>3</v>
      </c>
      <c r="H8" s="150"/>
      <c r="I8" s="151"/>
      <c r="J8" s="151"/>
      <c r="K8" s="152">
        <f t="shared" ref="K8:K13" si="1">E8</f>
        <v>50.32</v>
      </c>
      <c r="L8" s="149">
        <f>F8+I8</f>
        <v>9.58</v>
      </c>
      <c r="M8" s="153" t="str">
        <f t="shared" si="0"/>
        <v>х</v>
      </c>
    </row>
    <row r="9" spans="1:16" ht="58.9" customHeight="1" x14ac:dyDescent="0.2">
      <c r="A9" s="227"/>
      <c r="B9" s="133" t="s">
        <v>21</v>
      </c>
      <c r="C9" s="182">
        <v>72.459999999999994</v>
      </c>
      <c r="D9" s="135">
        <v>59.9</v>
      </c>
      <c r="E9" s="129">
        <f>ROUND(59.9*84%,2)</f>
        <v>50.32</v>
      </c>
      <c r="F9" s="129">
        <f>ROUND(59.9*16%,2)</f>
        <v>9.58</v>
      </c>
      <c r="G9" s="135" t="s">
        <v>3</v>
      </c>
      <c r="H9" s="135"/>
      <c r="I9" s="136"/>
      <c r="J9" s="155">
        <f>C9-D9</f>
        <v>12.559999999999995</v>
      </c>
      <c r="K9" s="137">
        <f t="shared" si="1"/>
        <v>50.32</v>
      </c>
      <c r="L9" s="134">
        <f>F9+I9+J9</f>
        <v>22.139999999999993</v>
      </c>
      <c r="M9" s="138" t="str">
        <f t="shared" si="0"/>
        <v>х</v>
      </c>
    </row>
    <row r="10" spans="1:16" ht="67.900000000000006" customHeight="1" x14ac:dyDescent="0.2">
      <c r="A10" s="227"/>
      <c r="B10" s="133" t="s">
        <v>24</v>
      </c>
      <c r="C10" s="182">
        <v>72.55</v>
      </c>
      <c r="D10" s="135" t="s">
        <v>3</v>
      </c>
      <c r="E10" s="136" t="s">
        <v>3</v>
      </c>
      <c r="F10" s="136" t="s">
        <v>3</v>
      </c>
      <c r="G10" s="136" t="s">
        <v>3</v>
      </c>
      <c r="H10" s="136"/>
      <c r="I10" s="155">
        <f>C10</f>
        <v>72.55</v>
      </c>
      <c r="J10" s="136"/>
      <c r="K10" s="137" t="str">
        <f t="shared" si="1"/>
        <v>х</v>
      </c>
      <c r="L10" s="134">
        <f>I10</f>
        <v>72.55</v>
      </c>
      <c r="M10" s="138" t="str">
        <f t="shared" si="0"/>
        <v>х</v>
      </c>
      <c r="P10" t="s">
        <v>42</v>
      </c>
    </row>
    <row r="11" spans="1:16" s="91" customFormat="1" ht="69" customHeight="1" thickBot="1" x14ac:dyDescent="0.25">
      <c r="A11" s="228"/>
      <c r="B11" s="156" t="s">
        <v>25</v>
      </c>
      <c r="C11" s="183">
        <v>83.7</v>
      </c>
      <c r="D11" s="158" t="s">
        <v>3</v>
      </c>
      <c r="E11" s="159" t="s">
        <v>3</v>
      </c>
      <c r="F11" s="159" t="s">
        <v>3</v>
      </c>
      <c r="G11" s="159" t="s">
        <v>3</v>
      </c>
      <c r="H11" s="160"/>
      <c r="I11" s="161">
        <f>C11</f>
        <v>83.7</v>
      </c>
      <c r="J11" s="160"/>
      <c r="K11" s="162" t="str">
        <f t="shared" si="1"/>
        <v>х</v>
      </c>
      <c r="L11" s="157">
        <f>I11</f>
        <v>83.7</v>
      </c>
      <c r="M11" s="163" t="str">
        <f t="shared" si="0"/>
        <v>х</v>
      </c>
    </row>
    <row r="12" spans="1:16" ht="63" customHeight="1" thickBot="1" x14ac:dyDescent="0.25">
      <c r="A12" s="227" t="s">
        <v>7</v>
      </c>
      <c r="B12" s="165" t="s">
        <v>20</v>
      </c>
      <c r="C12" s="181">
        <v>59.9</v>
      </c>
      <c r="D12" s="167">
        <v>59.9</v>
      </c>
      <c r="E12" s="129">
        <f>ROUND(59.9*84%,2)</f>
        <v>50.32</v>
      </c>
      <c r="F12" s="129">
        <f>ROUND(59.9*16%,2)</f>
        <v>9.58</v>
      </c>
      <c r="G12" s="167" t="s">
        <v>3</v>
      </c>
      <c r="H12" s="167"/>
      <c r="I12" s="168" t="s">
        <v>3</v>
      </c>
      <c r="J12" s="168"/>
      <c r="K12" s="169">
        <f t="shared" si="1"/>
        <v>50.32</v>
      </c>
      <c r="L12" s="166">
        <f>F12</f>
        <v>9.58</v>
      </c>
      <c r="M12" s="170" t="str">
        <f t="shared" si="0"/>
        <v>х</v>
      </c>
      <c r="P12" t="s">
        <v>43</v>
      </c>
    </row>
    <row r="13" spans="1:16" ht="67.900000000000006" customHeight="1" thickBot="1" x14ac:dyDescent="0.25">
      <c r="A13" s="228"/>
      <c r="B13" s="171" t="s">
        <v>21</v>
      </c>
      <c r="C13" s="182">
        <v>72.459999999999994</v>
      </c>
      <c r="D13" s="172">
        <v>59.9</v>
      </c>
      <c r="E13" s="129">
        <f>ROUND(59.9*84%,2)</f>
        <v>50.32</v>
      </c>
      <c r="F13" s="129">
        <f>ROUND(59.9*16%,2)</f>
        <v>9.58</v>
      </c>
      <c r="G13" s="172" t="s">
        <v>3</v>
      </c>
      <c r="H13" s="172"/>
      <c r="I13" s="173"/>
      <c r="J13" s="161">
        <f>67.12-D13</f>
        <v>7.220000000000006</v>
      </c>
      <c r="K13" s="174">
        <f t="shared" si="1"/>
        <v>50.32</v>
      </c>
      <c r="L13" s="175">
        <f>F13+I13+J13</f>
        <v>16.800000000000004</v>
      </c>
      <c r="M13" s="176" t="str">
        <f t="shared" si="0"/>
        <v>х</v>
      </c>
    </row>
  </sheetData>
  <mergeCells count="11">
    <mergeCell ref="A1:I1"/>
    <mergeCell ref="A2:B3"/>
    <mergeCell ref="C2:C3"/>
    <mergeCell ref="D2:F2"/>
    <mergeCell ref="G2:H2"/>
    <mergeCell ref="I2:I3"/>
    <mergeCell ref="J2:J3"/>
    <mergeCell ref="K2:M2"/>
    <mergeCell ref="A4:A7"/>
    <mergeCell ref="A8:A11"/>
    <mergeCell ref="A12:A13"/>
  </mergeCells>
  <pageMargins left="0.19685039370078741" right="0.19685039370078741" top="0.19685039370078741" bottom="0.19685039370078741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D4" activeCellId="2" sqref="G4 I4 D4"/>
    </sheetView>
  </sheetViews>
  <sheetFormatPr defaultRowHeight="12.75" x14ac:dyDescent="0.2"/>
  <cols>
    <col min="1" max="1" width="22.83203125" style="1" customWidth="1"/>
    <col min="2" max="2" width="29.5" style="1" customWidth="1"/>
    <col min="3" max="3" width="14.83203125" style="4" customWidth="1"/>
    <col min="5" max="5" width="13.33203125" customWidth="1"/>
    <col min="6" max="6" width="14.83203125" customWidth="1"/>
    <col min="7" max="7" width="10.83203125" customWidth="1"/>
    <col min="8" max="8" width="13.83203125" customWidth="1"/>
    <col min="9" max="9" width="14.6640625" customWidth="1"/>
    <col min="10" max="10" width="20.5" customWidth="1"/>
    <col min="11" max="11" width="14.83203125" style="4" customWidth="1"/>
    <col min="12" max="12" width="14.33203125" style="4" customWidth="1"/>
    <col min="13" max="13" width="11.5" style="4" customWidth="1"/>
  </cols>
  <sheetData>
    <row r="1" spans="1:13" ht="38.25" customHeight="1" thickBot="1" x14ac:dyDescent="0.25">
      <c r="A1" s="184" t="s">
        <v>28</v>
      </c>
      <c r="B1" s="184"/>
      <c r="C1" s="184"/>
      <c r="D1" s="184"/>
      <c r="E1" s="184"/>
      <c r="F1" s="184"/>
      <c r="G1" s="184"/>
      <c r="H1" s="184"/>
      <c r="I1" s="184"/>
      <c r="J1" s="47"/>
    </row>
    <row r="2" spans="1:13" ht="28.5" customHeight="1" x14ac:dyDescent="0.2">
      <c r="A2" s="208" t="s">
        <v>0</v>
      </c>
      <c r="B2" s="209"/>
      <c r="C2" s="209" t="s">
        <v>4</v>
      </c>
      <c r="D2" s="216" t="s">
        <v>27</v>
      </c>
      <c r="E2" s="217"/>
      <c r="F2" s="218"/>
      <c r="G2" s="219" t="s">
        <v>32</v>
      </c>
      <c r="H2" s="204" t="s">
        <v>15</v>
      </c>
      <c r="I2" s="202" t="s">
        <v>31</v>
      </c>
      <c r="J2" s="202" t="s">
        <v>14</v>
      </c>
      <c r="K2" s="199" t="s">
        <v>8</v>
      </c>
      <c r="L2" s="200"/>
      <c r="M2" s="201"/>
    </row>
    <row r="3" spans="1:13" s="1" customFormat="1" ht="67.5" customHeight="1" thickBot="1" x14ac:dyDescent="0.25">
      <c r="A3" s="210"/>
      <c r="B3" s="211"/>
      <c r="C3" s="211"/>
      <c r="D3" s="45" t="s">
        <v>1</v>
      </c>
      <c r="E3" s="45" t="s">
        <v>10</v>
      </c>
      <c r="F3" s="45" t="s">
        <v>11</v>
      </c>
      <c r="G3" s="220"/>
      <c r="H3" s="205"/>
      <c r="I3" s="203"/>
      <c r="J3" s="203"/>
      <c r="K3" s="46" t="s">
        <v>9</v>
      </c>
      <c r="L3" s="46" t="s">
        <v>2</v>
      </c>
      <c r="M3" s="33" t="s">
        <v>5</v>
      </c>
    </row>
    <row r="4" spans="1:13" ht="72" customHeight="1" x14ac:dyDescent="0.2">
      <c r="A4" s="206" t="s">
        <v>6</v>
      </c>
      <c r="B4" s="15" t="s">
        <v>16</v>
      </c>
      <c r="C4" s="16" t="s">
        <v>13</v>
      </c>
      <c r="D4" s="17">
        <v>59.76</v>
      </c>
      <c r="E4" s="17">
        <f>ROUND(59.76*88%,2)</f>
        <v>52.59</v>
      </c>
      <c r="F4" s="17">
        <f>ROUND(59.76*12%,2)</f>
        <v>7.17</v>
      </c>
      <c r="G4" s="17">
        <f>ROUND(59.76*10%,2)</f>
        <v>5.98</v>
      </c>
      <c r="H4" s="18">
        <f>121.66-G4-I4-D4</f>
        <v>2.1399999999999935</v>
      </c>
      <c r="I4" s="17">
        <f>ROUND(59.76*90%,2)</f>
        <v>53.78</v>
      </c>
      <c r="J4" s="17"/>
      <c r="K4" s="19">
        <f>E4</f>
        <v>52.59</v>
      </c>
      <c r="L4" s="16">
        <f>F4+I4+J4</f>
        <v>60.95</v>
      </c>
      <c r="M4" s="20">
        <f>G4+H4</f>
        <v>8.1199999999999939</v>
      </c>
    </row>
    <row r="5" spans="1:13" ht="92.25" customHeight="1" x14ac:dyDescent="0.2">
      <c r="A5" s="207"/>
      <c r="B5" s="2" t="s">
        <v>17</v>
      </c>
      <c r="C5" s="9" t="s">
        <v>18</v>
      </c>
      <c r="D5" s="3" t="s">
        <v>3</v>
      </c>
      <c r="E5" s="8" t="s">
        <v>3</v>
      </c>
      <c r="F5" s="8" t="s">
        <v>3</v>
      </c>
      <c r="G5" s="3">
        <f>ROUND(135.84*10%,2)</f>
        <v>13.58</v>
      </c>
      <c r="H5" s="8">
        <f>138.52-G5-I5</f>
        <v>2.6800000000000068</v>
      </c>
      <c r="I5" s="3">
        <f>ROUND(135.84*90%,2)</f>
        <v>122.26</v>
      </c>
      <c r="J5" s="8"/>
      <c r="K5" s="5" t="str">
        <f t="shared" ref="K5:K12" si="0">E5</f>
        <v>х</v>
      </c>
      <c r="L5" s="9">
        <f>I5+J5</f>
        <v>122.26</v>
      </c>
      <c r="M5" s="21">
        <f>G5+H5</f>
        <v>16.260000000000005</v>
      </c>
    </row>
    <row r="6" spans="1:13" ht="25.5" x14ac:dyDescent="0.2">
      <c r="A6" s="207"/>
      <c r="B6" s="34" t="s">
        <v>29</v>
      </c>
      <c r="C6" s="35" t="s">
        <v>13</v>
      </c>
      <c r="D6" s="3"/>
      <c r="E6" s="3"/>
      <c r="F6" s="3"/>
      <c r="G6" s="3">
        <f>ROUND(121.66*10%,2)</f>
        <v>12.17</v>
      </c>
      <c r="H6" s="8">
        <f>121.66-G6-I6</f>
        <v>0</v>
      </c>
      <c r="I6" s="3">
        <f>ROUND(121.66*90%,2)</f>
        <v>109.49</v>
      </c>
      <c r="J6" s="8"/>
      <c r="K6" s="5">
        <f>E6</f>
        <v>0</v>
      </c>
      <c r="L6" s="35">
        <f>F6+I6+J6</f>
        <v>109.49</v>
      </c>
      <c r="M6" s="36">
        <f>G6+H6</f>
        <v>12.17</v>
      </c>
    </row>
    <row r="7" spans="1:13" s="43" customFormat="1" ht="33.75" customHeight="1" thickBot="1" x14ac:dyDescent="0.25">
      <c r="A7" s="207"/>
      <c r="B7" s="37" t="s">
        <v>30</v>
      </c>
      <c r="C7" s="38" t="s">
        <v>18</v>
      </c>
      <c r="D7" s="39" t="s">
        <v>3</v>
      </c>
      <c r="E7" s="40" t="s">
        <v>3</v>
      </c>
      <c r="F7" s="40" t="s">
        <v>3</v>
      </c>
      <c r="G7" s="40">
        <v>13.58</v>
      </c>
      <c r="H7" s="40">
        <v>2.6800000000000068</v>
      </c>
      <c r="I7" s="40">
        <v>122.26</v>
      </c>
      <c r="J7" s="40"/>
      <c r="K7" s="41" t="s">
        <v>3</v>
      </c>
      <c r="L7" s="38">
        <v>122.26</v>
      </c>
      <c r="M7" s="42">
        <v>16.260000000000005</v>
      </c>
    </row>
    <row r="8" spans="1:13" ht="70.5" customHeight="1" x14ac:dyDescent="0.2">
      <c r="A8" s="213" t="s">
        <v>12</v>
      </c>
      <c r="B8" s="15" t="s">
        <v>20</v>
      </c>
      <c r="C8" s="16" t="s">
        <v>19</v>
      </c>
      <c r="D8" s="17">
        <v>59.76</v>
      </c>
      <c r="E8" s="17">
        <f>ROUND(59.76*88%,2)</f>
        <v>52.59</v>
      </c>
      <c r="F8" s="17">
        <f>ROUND(59.76*12%,2)</f>
        <v>7.17</v>
      </c>
      <c r="G8" s="22" t="s">
        <v>3</v>
      </c>
      <c r="H8" s="22"/>
      <c r="I8" s="22"/>
      <c r="J8" s="22"/>
      <c r="K8" s="19">
        <f t="shared" si="0"/>
        <v>52.59</v>
      </c>
      <c r="L8" s="16">
        <f t="shared" ref="L8" si="1">F8+I8</f>
        <v>7.17</v>
      </c>
      <c r="M8" s="20" t="str">
        <f t="shared" ref="M8:M12" si="2">G8</f>
        <v>х</v>
      </c>
    </row>
    <row r="9" spans="1:13" ht="70.5" customHeight="1" x14ac:dyDescent="0.2">
      <c r="A9" s="214"/>
      <c r="B9" s="2" t="s">
        <v>21</v>
      </c>
      <c r="C9" s="9" t="s">
        <v>22</v>
      </c>
      <c r="D9" s="3">
        <v>59.76</v>
      </c>
      <c r="E9" s="3">
        <f>ROUND(59.76*88%,2)</f>
        <v>52.59</v>
      </c>
      <c r="F9" s="3">
        <f>ROUND(59.76*12%,2)</f>
        <v>7.17</v>
      </c>
      <c r="G9" s="8"/>
      <c r="H9" s="8"/>
      <c r="I9" s="8"/>
      <c r="J9" s="10">
        <f>64.23-D9</f>
        <v>4.470000000000006</v>
      </c>
      <c r="K9" s="5">
        <f>E9</f>
        <v>52.59</v>
      </c>
      <c r="L9" s="9">
        <f>F9+I9+J9</f>
        <v>11.640000000000006</v>
      </c>
      <c r="M9" s="21" t="s">
        <v>3</v>
      </c>
    </row>
    <row r="10" spans="1:13" ht="78.75" customHeight="1" x14ac:dyDescent="0.2">
      <c r="A10" s="214"/>
      <c r="B10" s="2" t="s">
        <v>24</v>
      </c>
      <c r="C10" s="9" t="s">
        <v>23</v>
      </c>
      <c r="D10" s="3" t="s">
        <v>3</v>
      </c>
      <c r="E10" s="8" t="s">
        <v>3</v>
      </c>
      <c r="F10" s="8" t="s">
        <v>3</v>
      </c>
      <c r="G10" s="8" t="s">
        <v>3</v>
      </c>
      <c r="H10" s="8"/>
      <c r="I10" s="10">
        <v>64.319999999999993</v>
      </c>
      <c r="J10" s="8"/>
      <c r="K10" s="5" t="str">
        <f t="shared" ref="K10:K11" si="3">E10</f>
        <v>х</v>
      </c>
      <c r="L10" s="9">
        <f>I10</f>
        <v>64.319999999999993</v>
      </c>
      <c r="M10" s="21" t="str">
        <f t="shared" ref="M10:M11" si="4">G10</f>
        <v>х</v>
      </c>
    </row>
    <row r="11" spans="1:13" ht="78.75" customHeight="1" thickBot="1" x14ac:dyDescent="0.25">
      <c r="A11" s="215"/>
      <c r="B11" s="2" t="s">
        <v>25</v>
      </c>
      <c r="C11" s="24" t="s">
        <v>26</v>
      </c>
      <c r="D11" s="25" t="s">
        <v>3</v>
      </c>
      <c r="E11" s="26" t="s">
        <v>3</v>
      </c>
      <c r="F11" s="26" t="s">
        <v>3</v>
      </c>
      <c r="G11" s="26" t="s">
        <v>3</v>
      </c>
      <c r="H11" s="26"/>
      <c r="I11" s="30">
        <v>74.2</v>
      </c>
      <c r="J11" s="26"/>
      <c r="K11" s="27" t="str">
        <f t="shared" si="3"/>
        <v>х</v>
      </c>
      <c r="L11" s="24">
        <f>I11</f>
        <v>74.2</v>
      </c>
      <c r="M11" s="28" t="str">
        <f t="shared" si="4"/>
        <v>х</v>
      </c>
    </row>
    <row r="12" spans="1:13" ht="72.75" customHeight="1" x14ac:dyDescent="0.2">
      <c r="A12" s="207" t="s">
        <v>7</v>
      </c>
      <c r="B12" s="11" t="s">
        <v>20</v>
      </c>
      <c r="C12" s="12" t="s">
        <v>19</v>
      </c>
      <c r="D12" s="13">
        <v>59.76</v>
      </c>
      <c r="E12" s="13">
        <f>ROUND(59.76*88%,2)</f>
        <v>52.59</v>
      </c>
      <c r="F12" s="13">
        <f>ROUND(59.76*12%,2)</f>
        <v>7.17</v>
      </c>
      <c r="G12" s="7" t="s">
        <v>3</v>
      </c>
      <c r="H12" s="7"/>
      <c r="I12" s="7" t="s">
        <v>3</v>
      </c>
      <c r="J12" s="7"/>
      <c r="K12" s="14">
        <f t="shared" si="0"/>
        <v>52.59</v>
      </c>
      <c r="L12" s="12">
        <f>F12</f>
        <v>7.17</v>
      </c>
      <c r="M12" s="29" t="str">
        <f t="shared" si="2"/>
        <v>х</v>
      </c>
    </row>
    <row r="13" spans="1:13" ht="89.25" customHeight="1" thickBot="1" x14ac:dyDescent="0.25">
      <c r="A13" s="212"/>
      <c r="B13" s="23" t="s">
        <v>21</v>
      </c>
      <c r="C13" s="24" t="s">
        <v>22</v>
      </c>
      <c r="D13" s="25">
        <v>59.76</v>
      </c>
      <c r="E13" s="25">
        <f>ROUND(59.76*88%,2)</f>
        <v>52.59</v>
      </c>
      <c r="F13" s="25">
        <f>ROUND(59.76*12%,2)</f>
        <v>7.17</v>
      </c>
      <c r="G13" s="26"/>
      <c r="H13" s="26"/>
      <c r="I13" s="26"/>
      <c r="J13" s="30">
        <f>64.23-D13</f>
        <v>4.470000000000006</v>
      </c>
      <c r="K13" s="27">
        <f>E13</f>
        <v>52.59</v>
      </c>
      <c r="L13" s="24">
        <f>F13+I13+J13</f>
        <v>11.640000000000006</v>
      </c>
      <c r="M13" s="28" t="s">
        <v>3</v>
      </c>
    </row>
  </sheetData>
  <mergeCells count="12">
    <mergeCell ref="A1:I1"/>
    <mergeCell ref="A2:B3"/>
    <mergeCell ref="C2:C3"/>
    <mergeCell ref="D2:F2"/>
    <mergeCell ref="G2:G3"/>
    <mergeCell ref="H2:H3"/>
    <mergeCell ref="I2:I3"/>
    <mergeCell ref="J2:J3"/>
    <mergeCell ref="K2:M2"/>
    <mergeCell ref="A4:A7"/>
    <mergeCell ref="A8:A11"/>
    <mergeCell ref="A12:A13"/>
  </mergeCells>
  <pageMargins left="0.19685039370078741" right="0.19685039370078741" top="0.19685039370078741" bottom="0.19685039370078741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МР и ГО (с 01.09.21г)</vt:lpstr>
      <vt:lpstr>МР и ГО</vt:lpstr>
      <vt:lpstr>МР и ГО (с 01.01.2022г)</vt:lpstr>
      <vt:lpstr>МР и ГО (с 01.01.2022г) (2)</vt:lpstr>
      <vt:lpstr>МР и ГО (2023г)</vt:lpstr>
      <vt:lpstr>МР и ГО (2024г)</vt:lpstr>
      <vt:lpstr>МР и ГО (22г)</vt:lpstr>
      <vt:lpstr>'МР и ГО'!Заголовки_для_печати</vt:lpstr>
      <vt:lpstr>'МР и ГО (2023г)'!Заголовки_для_печати</vt:lpstr>
      <vt:lpstr>'МР и ГО (2024г)'!Заголовки_для_печати</vt:lpstr>
      <vt:lpstr>'МР и ГО (22г)'!Заголовки_для_печати</vt:lpstr>
      <vt:lpstr>'МР и ГО (с 01.01.2022г)'!Заголовки_для_печати</vt:lpstr>
      <vt:lpstr>'МР и ГО (с 01.01.2022г) (2)'!Заголовки_для_печати</vt:lpstr>
      <vt:lpstr>'МР и ГО (с 01.09.21г)'!Заголовки_для_печати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Денисенко Галина Николаевна</dc:creator>
  <cp:lastModifiedBy>User</cp:lastModifiedBy>
  <cp:lastPrinted>2021-12-01T15:25:31Z</cp:lastPrinted>
  <dcterms:created xsi:type="dcterms:W3CDTF">2020-09-14T09:26:45Z</dcterms:created>
  <dcterms:modified xsi:type="dcterms:W3CDTF">2021-12-06T09:53:52Z</dcterms:modified>
</cp:coreProperties>
</file>